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490" sheetId="1" r:id="rId1"/>
  </sheets>
  <definedNames>
    <definedName name="__bookmark_2">'DE000ETFL490'!$A$65:$V$81</definedName>
    <definedName name="__bookmark_1">'DE000ETFL490'!$A$1:$AM$88</definedName>
  </definedNames>
  <calcPr fullCalcOnLoad="1"/>
</workbook>
</file>

<file path=xl/sharedStrings.xml><?xml version="1.0" encoding="utf-8"?>
<sst xmlns="http://schemas.openxmlformats.org/spreadsheetml/2006/main" count="522" uniqueCount="721">
  <si>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</si>
  <si>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</si>
  <si>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</si>
  <si>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</si>
  <si>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</si>
  <si>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</si>
  <si>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</si>
  <si>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</si>
  <si>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</si>
  <si>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Eurozone Rendite Plus 1-10 UCITS ETF</t>
  </si>
  <si>
    <t>ISIN</t>
  </si>
  <si>
    <t>DE000ETFL490</t>
  </si>
  <si>
    <t>Bloomberg</t>
  </si>
  <si>
    <t>ELFD GY</t>
  </si>
  <si>
    <t>Reuters RIC</t>
  </si>
  <si>
    <t>ELFD.DE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</si>
  <si>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</si>
  <si>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</si>
  <si>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</si>
  <si>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</si>
  <si>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</si>
  <si>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</si>
  <si>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</si>
  <si>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</si>
  <si>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</si>
  <si>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</si>
  <si>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</si>
  <si>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</si>
  <si>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</si>
  <si>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</si>
  <si>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</si>
  <si>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</si>
  <si>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</si>
  <si>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</si>
  <si>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</si>
  <si>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</si>
  <si>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</si>
  <si>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</si>
  <si>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</si>
  <si>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</si>
  <si>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</si>
  <si>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</si>
  <si>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</si>
  <si>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</si>
  <si>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</si>
  <si>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</si>
  <si>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</si>
  <si>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</si>
  <si>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</si>
  <si>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</si>
  <si>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</si>
  <si>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</si>
  <si>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</si>
  <si>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</si>
  <si>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</si>
  <si>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</si>
  <si>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</si>
  <si>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</si>
  <si>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</si>
  <si>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</si>
  <si>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</si>
  <si>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</si>
  <si>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</si>
  <si>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</si>
  <si>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</si>
  <si>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</si>
  <si>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</si>
  <si>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</si>
  <si>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</si>
  <si>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</si>
  <si>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</si>
  <si>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SPANISH GOVT 4% 10-30/04/2020</t>
  </si>
  <si>
    <t>ES00000122D7</t>
  </si>
  <si>
    <t>ES00000122D7=SOLA</t>
  </si>
  <si>
    <t>Spanien</t>
  </si>
  <si>
    <t>Rentenpapier</t>
  </si>
  <si>
    <t>=WENN(ODER(ISTFEHLER(L25*$C$20/$C$16),IDENTISCH(TEIL(B25,1,4),"WPL:")),0,L25*$C$20/$C$16)</t>
  </si>
  <si>
    <t>=WENN(ODER(ISTFEHLER(M25*$C$20/$C$16),IDENTISCH(TEIL(B25,1,4),"WPL:")),0,M25*$C$20/$C$16)</t>
  </si>
  <si>
    <t>=WENN(ODER(ISTFEHLER(N25*$C$20/$C$16),IDENTISCH(TEIL(B25,1,4),"WPL:")),0,N25*$C$20/$C$16)</t>
  </si>
  <si>
    <t>=WENN(ODER(ISTFEHLER(L25*$C$21/N60),IDENTISCH(TEIL(B25,1,4),"WPL:")),0,L25*$C$21/N60)</t>
  </si>
  <si>
    <t>=WENN(ODER(ISTFEHLER(M25*$C$21/N60),IDENTISCH(TEIL(B25,1,4),"WPL:")),0,M25*$C$21/N60)</t>
  </si>
  <si>
    <t>=WENN(ODER(ISTFEHLER(M25*$C$20),IDENTISCH(TEIL(B25,1,4),"WPL:")),0,N25*$C$21/N60)</t>
  </si>
  <si>
    <t>=WENN(ODER(ISTFEHLER(L25*$C$20/$C$16),TEIL(B25,1,4)&lt;&gt;"WPL:"),0,L25*$C$20/$C$16)</t>
  </si>
  <si>
    <t>=WENN(ODER(ISTFEHLER(27816.44*$C$21/N60),TEIL(B25,1,4)&lt;&gt;"WPL:"),0,27816.44*$C$21/N60)</t>
  </si>
  <si>
    <t>=WENN(ODER(ISTFEHLER(904629.52*$C$20/$C$16),TEIL(B25,1,4)&lt;&gt;"WPL:"),0,904629.52*$C$20/$C$16)</t>
  </si>
  <si>
    <t>=WENN(ODER(ISTFEHLER(L25*$C$21/N60),TEIL(B25,1,4)&lt;&gt;"WPL:"),0,L25*$C$21/N60)</t>
  </si>
  <si>
    <t>=WENN(ODER(ISTFEHLER(904629.52*$C$20),TEIL(B25,1,4)&lt;&gt;"WPL:"),0,904629.52*$C$21/N60)</t>
  </si>
  <si>
    <t xml:space="preserve">20.01.2010                    </t>
  </si>
  <si>
    <t xml:space="preserve">30.04.2020                    </t>
  </si>
  <si>
    <t>öffentliche Anleihen</t>
  </si>
  <si>
    <t>2</t>
  </si>
  <si>
    <t>SPANISH GOVT 5.5% 11-30/04/2021</t>
  </si>
  <si>
    <t>ES00000123B9</t>
  </si>
  <si>
    <t>ES00000123B9=SOLA</t>
  </si>
  <si>
    <t>=WENN(ODER(ISTFEHLER(L26*$C$20/$C$16),IDENTISCH(TEIL(B26,1,4),"WPL:")),0,L26*$C$20/$C$16)</t>
  </si>
  <si>
    <t>=WENN(ODER(ISTFEHLER(M26*$C$20/$C$16),IDENTISCH(TEIL(B26,1,4),"WPL:")),0,M26*$C$20/$C$16)</t>
  </si>
  <si>
    <t>=WENN(ODER(ISTFEHLER(N26*$C$20/$C$16),IDENTISCH(TEIL(B26,1,4),"WPL:")),0,N26*$C$20/$C$16)</t>
  </si>
  <si>
    <t>=WENN(ODER(ISTFEHLER(L26*$C$21/N60),IDENTISCH(TEIL(B26,1,4),"WPL:")),0,L26*$C$21/N60)</t>
  </si>
  <si>
    <t>=WENN(ODER(ISTFEHLER(M26*$C$21/N60),IDENTISCH(TEIL(B26,1,4),"WPL:")),0,M26*$C$21/N60)</t>
  </si>
  <si>
    <t>=WENN(ODER(ISTFEHLER(M26*$C$20),IDENTISCH(TEIL(B26,1,4),"WPL:")),0,N26*$C$21/N60)</t>
  </si>
  <si>
    <t>=WENN(ODER(ISTFEHLER(L26*$C$20/$C$16),TEIL(B26,1,4)&lt;&gt;"WPL:"),0,L26*$C$20/$C$16)</t>
  </si>
  <si>
    <t>=WENN(ODER(ISTFEHLER(39276.03*$C$21/N60),TEIL(B26,1,4)&lt;&gt;"WPL:"),0,39276.03*$C$21/N60)</t>
  </si>
  <si>
    <t>=WENN(ODER(ISTFEHLER(1013305.03*$C$20/$C$16),TEIL(B26,1,4)&lt;&gt;"WPL:"),0,1013305.03*$C$20/$C$16)</t>
  </si>
  <si>
    <t>=WENN(ODER(ISTFEHLER(L26*$C$21/N60),TEIL(B26,1,4)&lt;&gt;"WPL:"),0,L26*$C$21/N60)</t>
  </si>
  <si>
    <t>=WENN(ODER(ISTFEHLER(1013305.03*$C$20),TEIL(B26,1,4)&lt;&gt;"WPL:"),0,1013305.03*$C$21/N60)</t>
  </si>
  <si>
    <t xml:space="preserve">24.01.2011                    </t>
  </si>
  <si>
    <t xml:space="preserve">30.04.2021                    </t>
  </si>
  <si>
    <t>3</t>
  </si>
  <si>
    <t>SPANISH GOVT 5.85% 11-31/01/2022</t>
  </si>
  <si>
    <t>ES00000123K0</t>
  </si>
  <si>
    <t>ES00000123K0=SOLA</t>
  </si>
  <si>
    <t>=WENN(ODER(ISTFEHLER(L27*$C$20/$C$16),IDENTISCH(TEIL(B27,1,4),"WPL:")),0,L27*$C$20/$C$16)</t>
  </si>
  <si>
    <t>=WENN(ODER(ISTFEHLER(M27*$C$20/$C$16),IDENTISCH(TEIL(B27,1,4),"WPL:")),0,M27*$C$20/$C$16)</t>
  </si>
  <si>
    <t>=WENN(ODER(ISTFEHLER(N27*$C$20/$C$16),IDENTISCH(TEIL(B27,1,4),"WPL:")),0,N27*$C$20/$C$16)</t>
  </si>
  <si>
    <t>=WENN(ODER(ISTFEHLER(L27*$C$21/N60),IDENTISCH(TEIL(B27,1,4),"WPL:")),0,L27*$C$21/N60)</t>
  </si>
  <si>
    <t>=WENN(ODER(ISTFEHLER(M27*$C$21/N60),IDENTISCH(TEIL(B27,1,4),"WPL:")),0,M27*$C$21/N60)</t>
  </si>
  <si>
    <t>=WENN(ODER(ISTFEHLER(M27*$C$20),IDENTISCH(TEIL(B27,1,4),"WPL:")),0,N27*$C$21/N60)</t>
  </si>
  <si>
    <t>=WENN(ODER(ISTFEHLER(L27*$C$20/$C$16),TEIL(B27,1,4)&lt;&gt;"WPL:"),0,L27*$C$20/$C$16)</t>
  </si>
  <si>
    <t>=WENN(ODER(ISTFEHLER(6015.72*$C$21/N60),TEIL(B27,1,4)&lt;&gt;"WPL:"),0,6015.72*$C$21/N60)</t>
  </si>
  <si>
    <t>=WENN(ODER(ISTFEHLER(968632.6*$C$20/$C$16),TEIL(B27,1,4)&lt;&gt;"WPL:"),0,968632.6*$C$20/$C$16)</t>
  </si>
  <si>
    <t>=WENN(ODER(ISTFEHLER(L27*$C$21/N60),TEIL(B27,1,4)&lt;&gt;"WPL:"),0,L27*$C$21/N60)</t>
  </si>
  <si>
    <t>=WENN(ODER(ISTFEHLER(968632.6*$C$20),TEIL(B27,1,4)&lt;&gt;"WPL:"),0,968632.6*$C$21/N60)</t>
  </si>
  <si>
    <t xml:space="preserve">22.11.2011                    </t>
  </si>
  <si>
    <t xml:space="preserve">31.01.2022                    </t>
  </si>
  <si>
    <t>4</t>
  </si>
  <si>
    <t>SPANISH GOVT 2.75% 14-30/04/2019</t>
  </si>
  <si>
    <t>ES00000124V5</t>
  </si>
  <si>
    <t>ES00000124V5=SOLA</t>
  </si>
  <si>
    <t>=WENN(ODER(ISTFEHLER(L28*$C$20/$C$16),IDENTISCH(TEIL(B28,1,4),"WPL:")),0,L28*$C$20/$C$16)</t>
  </si>
  <si>
    <t>=WENN(ODER(ISTFEHLER(M28*$C$20/$C$16),IDENTISCH(TEIL(B28,1,4),"WPL:")),0,M28*$C$20/$C$16)</t>
  </si>
  <si>
    <t>=WENN(ODER(ISTFEHLER(N28*$C$20/$C$16),IDENTISCH(TEIL(B28,1,4),"WPL:")),0,N28*$C$20/$C$16)</t>
  </si>
  <si>
    <t>=WENN(ODER(ISTFEHLER(L28*$C$21/N60),IDENTISCH(TEIL(B28,1,4),"WPL:")),0,L28*$C$21/N60)</t>
  </si>
  <si>
    <t>=WENN(ODER(ISTFEHLER(M28*$C$21/N60),IDENTISCH(TEIL(B28,1,4),"WPL:")),0,M28*$C$21/N60)</t>
  </si>
  <si>
    <t>=WENN(ODER(ISTFEHLER(M28*$C$20),IDENTISCH(TEIL(B28,1,4),"WPL:")),0,N28*$C$21/N60)</t>
  </si>
  <si>
    <t>=WENN(ODER(ISTFEHLER(L28*$C$20/$C$16),TEIL(B28,1,4)&lt;&gt;"WPL:"),0,L28*$C$20/$C$16)</t>
  </si>
  <si>
    <t>=WENN(ODER(ISTFEHLER(18340.24*$C$21/N60),TEIL(B28,1,4)&lt;&gt;"WPL:"),0,18340.24*$C$21/N60)</t>
  </si>
  <si>
    <t>=WENN(ODER(ISTFEHLER(813367.79*$C$20/$C$16),TEIL(B28,1,4)&lt;&gt;"WPL:"),0,813367.79*$C$20/$C$16)</t>
  </si>
  <si>
    <t>=WENN(ODER(ISTFEHLER(L28*$C$21/N60),TEIL(B28,1,4)&lt;&gt;"WPL:"),0,L28*$C$21/N60)</t>
  </si>
  <si>
    <t>=WENN(ODER(ISTFEHLER(813367.79*$C$20),TEIL(B28,1,4)&lt;&gt;"WPL:"),0,813367.79*$C$21/N60)</t>
  </si>
  <si>
    <t xml:space="preserve">14.01.2014                    </t>
  </si>
  <si>
    <t xml:space="preserve">30.04.2019                    </t>
  </si>
  <si>
    <t>5</t>
  </si>
  <si>
    <t>SPANISH GOVT 2.75% 14-31/10/2024</t>
  </si>
  <si>
    <t>ES00000126B2</t>
  </si>
  <si>
    <t>ES00000126B2=SOLA</t>
  </si>
  <si>
    <t>=WENN(ODER(ISTFEHLER(L29*$C$20/$C$16),IDENTISCH(TEIL(B29,1,4),"WPL:")),0,L29*$C$20/$C$16)</t>
  </si>
  <si>
    <t>=WENN(ODER(ISTFEHLER(M29*$C$20/$C$16),IDENTISCH(TEIL(B29,1,4),"WPL:")),0,M29*$C$20/$C$16)</t>
  </si>
  <si>
    <t>=WENN(ODER(ISTFEHLER(N29*$C$20/$C$16),IDENTISCH(TEIL(B29,1,4),"WPL:")),0,N29*$C$20/$C$16)</t>
  </si>
  <si>
    <t>=WENN(ODER(ISTFEHLER(L29*$C$21/N60),IDENTISCH(TEIL(B29,1,4),"WPL:")),0,L29*$C$21/N60)</t>
  </si>
  <si>
    <t>=WENN(ODER(ISTFEHLER(M29*$C$21/N60),IDENTISCH(TEIL(B29,1,4),"WPL:")),0,M29*$C$21/N60)</t>
  </si>
  <si>
    <t>=WENN(ODER(ISTFEHLER(M29*$C$20),IDENTISCH(TEIL(B29,1,4),"WPL:")),0,N29*$C$21/N60)</t>
  </si>
  <si>
    <t>=WENN(ODER(ISTFEHLER(L29*$C$20/$C$16),TEIL(B29,1,4)&lt;&gt;"WPL:"),0,L29*$C$20/$C$16)</t>
  </si>
  <si>
    <t>=WENN(ODER(ISTFEHLER(8339.28*$C$21/N60),TEIL(B29,1,4)&lt;&gt;"WPL:"),0,8339.28*$C$21/N60)</t>
  </si>
  <si>
    <t>=WENN(ODER(ISTFEHLER(869405.78*$C$20/$C$16),TEIL(B29,1,4)&lt;&gt;"WPL:"),0,869405.78*$C$20/$C$16)</t>
  </si>
  <si>
    <t>=WENN(ODER(ISTFEHLER(L29*$C$21/N60),TEIL(B29,1,4)&lt;&gt;"WPL:"),0,L29*$C$21/N60)</t>
  </si>
  <si>
    <t>=WENN(ODER(ISTFEHLER(869405.78*$C$20),TEIL(B29,1,4)&lt;&gt;"WPL:"),0,869405.78*$C$21/N60)</t>
  </si>
  <si>
    <t xml:space="preserve">20.06.2014                    </t>
  </si>
  <si>
    <t xml:space="preserve">31.10.2024                    </t>
  </si>
  <si>
    <t>6</t>
  </si>
  <si>
    <t>FRANCE O.A.T. 3.75% 05-25/04/2021</t>
  </si>
  <si>
    <t>FR0010192997</t>
  </si>
  <si>
    <t>FR0010192997=SOLA</t>
  </si>
  <si>
    <t>Frankreich</t>
  </si>
  <si>
    <t>=WENN(ODER(ISTFEHLER(L30*$C$20/$C$16),IDENTISCH(TEIL(B30,1,4),"WPL:")),0,L30*$C$20/$C$16)</t>
  </si>
  <si>
    <t>=WENN(ODER(ISTFEHLER(M30*$C$20/$C$16),IDENTISCH(TEIL(B30,1,4),"WPL:")),0,M30*$C$20/$C$16)</t>
  </si>
  <si>
    <t>=WENN(ODER(ISTFEHLER(N30*$C$20/$C$16),IDENTISCH(TEIL(B30,1,4),"WPL:")),0,N30*$C$20/$C$16)</t>
  </si>
  <si>
    <t>=WENN(ODER(ISTFEHLER(L30*$C$21/N60),IDENTISCH(TEIL(B30,1,4),"WPL:")),0,L30*$C$21/N60)</t>
  </si>
  <si>
    <t>=WENN(ODER(ISTFEHLER(M30*$C$21/N60),IDENTISCH(TEIL(B30,1,4),"WPL:")),0,M30*$C$21/N60)</t>
  </si>
  <si>
    <t>=WENN(ODER(ISTFEHLER(M30*$C$20),IDENTISCH(TEIL(B30,1,4),"WPL:")),0,N30*$C$21/N60)</t>
  </si>
  <si>
    <t>=WENN(ODER(ISTFEHLER(L30*$C$20/$C$16),TEIL(B30,1,4)&lt;&gt;"WPL:"),0,L30*$C$20/$C$16)</t>
  </si>
  <si>
    <t>=WENN(ODER(ISTFEHLER(25461.99*$C$21/N60),TEIL(B30,1,4)&lt;&gt;"WPL:"),0,25461.99*$C$21/N60)</t>
  </si>
  <si>
    <t>=WENN(ODER(ISTFEHLER(892631.18*$C$20/$C$16),TEIL(B30,1,4)&lt;&gt;"WPL:"),0,892631.18*$C$20/$C$16)</t>
  </si>
  <si>
    <t>=WENN(ODER(ISTFEHLER(L30*$C$21/N60),TEIL(B30,1,4)&lt;&gt;"WPL:"),0,L30*$C$21/N60)</t>
  </si>
  <si>
    <t>=WENN(ODER(ISTFEHLER(892631.18*$C$20),TEIL(B30,1,4)&lt;&gt;"WPL:"),0,892631.18*$C$21/N60)</t>
  </si>
  <si>
    <t xml:space="preserve">10.05.2005                    </t>
  </si>
  <si>
    <t xml:space="preserve">25.04.2021                    </t>
  </si>
  <si>
    <t>7</t>
  </si>
  <si>
    <t>WPL:FRANCE O.A.T. 3.75% 05-25/04/2021</t>
  </si>
  <si>
    <t>=WENN(ODER(ISTFEHLER(L31*$C$20/$C$16),IDENTISCH(TEIL(B31,1,4),"WPL:")),0,L31*$C$20/$C$16)</t>
  </si>
  <si>
    <t>=WENN(ODER(ISTFEHLER(M31*$C$20/$C$16),IDENTISCH(TEIL(B31,1,4),"WPL:")),0,M31*$C$20/$C$16)</t>
  </si>
  <si>
    <t>=WENN(ODER(ISTFEHLER(N31*$C$20/$C$16),IDENTISCH(TEIL(B31,1,4),"WPL:")),0,N31*$C$20/$C$16)</t>
  </si>
  <si>
    <t>=WENN(ODER(ISTFEHLER(L31*$C$21/N60),IDENTISCH(TEIL(B31,1,4),"WPL:")),0,L31*$C$21/N60)</t>
  </si>
  <si>
    <t>=WENN(ODER(ISTFEHLER(M31*$C$21/N60),IDENTISCH(TEIL(B31,1,4),"WPL:")),0,M31*$C$21/N60)</t>
  </si>
  <si>
    <t>=WENN(ODER(ISTFEHLER(M31*$C$20),IDENTISCH(TEIL(B31,1,4),"WPL:")),0,N31*$C$21/N60)</t>
  </si>
  <si>
    <t>=WENN(ODER(ISTFEHLER(L31*$C$20/$C$16),TEIL(B31,1,4)&lt;&gt;"WPL:"),0,L31*$C$20/$C$16)</t>
  </si>
  <si>
    <t>=WENN(ODER(ISTFEHLER(903.37501095*$C$21/N60),TEIL(B31,1,4)&lt;&gt;"WPL:"),0,903.37501095*$C$21/N60)</t>
  </si>
  <si>
    <t>=WENN(ODER(ISTFEHLER(30766.608469999996*$C$20/$C$16),TEIL(B31,1,4)&lt;&gt;"WPL:"),0,30766.608469999996*$C$20/$C$16)</t>
  </si>
  <si>
    <t>=WENN(ODER(ISTFEHLER(L31*$C$21/N60),TEIL(B31,1,4)&lt;&gt;"WPL:"),0,L31*$C$21/N60)</t>
  </si>
  <si>
    <t>=WENN(ODER(ISTFEHLER(30766.608469999996*$C$20),TEIL(B31,1,4)&lt;&gt;"WPL:"),0,30766.608469999996*$C$21/N60)</t>
  </si>
  <si>
    <t>8</t>
  </si>
  <si>
    <t>FRANCE O.A.T. 4.25% 07-25/10/2023</t>
  </si>
  <si>
    <t>FR0010466938</t>
  </si>
  <si>
    <t>FR0010466938=SOLA</t>
  </si>
  <si>
    <t>=WENN(ODER(ISTFEHLER(L32*$C$20/$C$16),IDENTISCH(TEIL(B32,1,4),"WPL:")),0,L32*$C$20/$C$16)</t>
  </si>
  <si>
    <t>=WENN(ODER(ISTFEHLER(M32*$C$20/$C$16),IDENTISCH(TEIL(B32,1,4),"WPL:")),0,M32*$C$20/$C$16)</t>
  </si>
  <si>
    <t>=WENN(ODER(ISTFEHLER(N32*$C$20/$C$16),IDENTISCH(TEIL(B32,1,4),"WPL:")),0,N32*$C$20/$C$16)</t>
  </si>
  <si>
    <t>=WENN(ODER(ISTFEHLER(L32*$C$21/N60),IDENTISCH(TEIL(B32,1,4),"WPL:")),0,L32*$C$21/N60)</t>
  </si>
  <si>
    <t>=WENN(ODER(ISTFEHLER(M32*$C$21/N60),IDENTISCH(TEIL(B32,1,4),"WPL:")),0,M32*$C$21/N60)</t>
  </si>
  <si>
    <t>=WENN(ODER(ISTFEHLER(M32*$C$20),IDENTISCH(TEIL(B32,1,4),"WPL:")),0,N32*$C$21/N60)</t>
  </si>
  <si>
    <t>=WENN(ODER(ISTFEHLER(L32*$C$20/$C$16),TEIL(B32,1,4)&lt;&gt;"WPL:"),0,L32*$C$20/$C$16)</t>
  </si>
  <si>
    <t>=WENN(ODER(ISTFEHLER(14103.95*$C$21/N60),TEIL(B32,1,4)&lt;&gt;"WPL:"),0,14103.95*$C$21/N60)</t>
  </si>
  <si>
    <t>=WENN(ODER(ISTFEHLER(1038050.85*$C$20/$C$16),TEIL(B32,1,4)&lt;&gt;"WPL:"),0,1038050.85*$C$20/$C$16)</t>
  </si>
  <si>
    <t>=WENN(ODER(ISTFEHLER(L32*$C$21/N60),TEIL(B32,1,4)&lt;&gt;"WPL:"),0,L32*$C$21/N60)</t>
  </si>
  <si>
    <t>=WENN(ODER(ISTFEHLER(1038050.85*$C$20),TEIL(B32,1,4)&lt;&gt;"WPL:"),0,1038050.85*$C$21/N60)</t>
  </si>
  <si>
    <t xml:space="preserve">09.05.2007                    </t>
  </si>
  <si>
    <t xml:space="preserve">25.10.2023                    </t>
  </si>
  <si>
    <t>9</t>
  </si>
  <si>
    <t>WPL:FRANCE O.A.T. 4.25% 07-25/10/2023</t>
  </si>
  <si>
    <t>=WENN(ODER(ISTFEHLER(L33*$C$20/$C$16),IDENTISCH(TEIL(B33,1,4),"WPL:")),0,L33*$C$20/$C$16)</t>
  </si>
  <si>
    <t>=WENN(ODER(ISTFEHLER(M33*$C$20/$C$16),IDENTISCH(TEIL(B33,1,4),"WPL:")),0,M33*$C$20/$C$16)</t>
  </si>
  <si>
    <t>=WENN(ODER(ISTFEHLER(N33*$C$20/$C$16),IDENTISCH(TEIL(B33,1,4),"WPL:")),0,N33*$C$20/$C$16)</t>
  </si>
  <si>
    <t>=WENN(ODER(ISTFEHLER(L33*$C$21/N60),IDENTISCH(TEIL(B33,1,4),"WPL:")),0,L33*$C$21/N60)</t>
  </si>
  <si>
    <t>=WENN(ODER(ISTFEHLER(M33*$C$21/N60),IDENTISCH(TEIL(B33,1,4),"WPL:")),0,M33*$C$21/N60)</t>
  </si>
  <si>
    <t>=WENN(ODER(ISTFEHLER(M33*$C$20),IDENTISCH(TEIL(B33,1,4),"WPL:")),0,N33*$C$21/N60)</t>
  </si>
  <si>
    <t>=WENN(ODER(ISTFEHLER(L33*$C$20/$C$16),TEIL(B33,1,4)&lt;&gt;"WPL:"),0,L33*$C$20/$C$16)</t>
  </si>
  <si>
    <t>=WENN(ODER(ISTFEHLER(401.774149174*$C$21/N60),TEIL(B33,1,4)&lt;&gt;"WPL:"),0,401.774149174*$C$21/N60)</t>
  </si>
  <si>
    <t>=WENN(ODER(ISTFEHLER(29168.817342*$C$20/$C$16),TEIL(B33,1,4)&lt;&gt;"WPL:"),0,29168.817342*$C$20/$C$16)</t>
  </si>
  <si>
    <t>=WENN(ODER(ISTFEHLER(L33*$C$21/N60),TEIL(B33,1,4)&lt;&gt;"WPL:"),0,L33*$C$21/N60)</t>
  </si>
  <si>
    <t>=WENN(ODER(ISTFEHLER(29168.817342*$C$20),TEIL(B33,1,4)&lt;&gt;"WPL:"),0,29168.817342*$C$21/N60)</t>
  </si>
  <si>
    <t>10</t>
  </si>
  <si>
    <t>FRANCE O.A.T. 3.5% 10-25/04/2020</t>
  </si>
  <si>
    <t>FR0010854182</t>
  </si>
  <si>
    <t>FR0010854182=SOLA</t>
  </si>
  <si>
    <t>=WENN(ODER(ISTFEHLER(L34*$C$20/$C$16),IDENTISCH(TEIL(B34,1,4),"WPL:")),0,L34*$C$20/$C$16)</t>
  </si>
  <si>
    <t>=WENN(ODER(ISTFEHLER(M34*$C$20/$C$16),IDENTISCH(TEIL(B34,1,4),"WPL:")),0,M34*$C$20/$C$16)</t>
  </si>
  <si>
    <t>=WENN(ODER(ISTFEHLER(N34*$C$20/$C$16),IDENTISCH(TEIL(B34,1,4),"WPL:")),0,N34*$C$20/$C$16)</t>
  </si>
  <si>
    <t>=WENN(ODER(ISTFEHLER(L34*$C$21/N60),IDENTISCH(TEIL(B34,1,4),"WPL:")),0,L34*$C$21/N60)</t>
  </si>
  <si>
    <t>=WENN(ODER(ISTFEHLER(M34*$C$21/N60),IDENTISCH(TEIL(B34,1,4),"WPL:")),0,M34*$C$21/N60)</t>
  </si>
  <si>
    <t>=WENN(ODER(ISTFEHLER(M34*$C$20),IDENTISCH(TEIL(B34,1,4),"WPL:")),0,N34*$C$21/N60)</t>
  </si>
  <si>
    <t>=WENN(ODER(ISTFEHLER(L34*$C$20/$C$16),TEIL(B34,1,4)&lt;&gt;"WPL:"),0,L34*$C$20/$C$16)</t>
  </si>
  <si>
    <t>=WENN(ODER(ISTFEHLER(22910.14*$C$21/N60),TEIL(B34,1,4)&lt;&gt;"WPL:"),0,22910.14*$C$21/N60)</t>
  </si>
  <si>
    <t>=WENN(ODER(ISTFEHLER(830610.33*$C$20/$C$16),TEIL(B34,1,4)&lt;&gt;"WPL:"),0,830610.33*$C$20/$C$16)</t>
  </si>
  <si>
    <t>=WENN(ODER(ISTFEHLER(L34*$C$21/N60),TEIL(B34,1,4)&lt;&gt;"WPL:"),0,L34*$C$21/N60)</t>
  </si>
  <si>
    <t>=WENN(ODER(ISTFEHLER(830610.33*$C$20),TEIL(B34,1,4)&lt;&gt;"WPL:"),0,830610.33*$C$21/N60)</t>
  </si>
  <si>
    <t xml:space="preserve">09.02.2010                    </t>
  </si>
  <si>
    <t xml:space="preserve">25.04.2020                    </t>
  </si>
  <si>
    <t>11</t>
  </si>
  <si>
    <t>FRANCE O.A.T. 3.25% 11-25/10/2021</t>
  </si>
  <si>
    <t>FR0011059088</t>
  </si>
  <si>
    <t>FR0011059088=SOLA</t>
  </si>
  <si>
    <t>=WENN(ODER(ISTFEHLER(L35*$C$20/$C$16),IDENTISCH(TEIL(B35,1,4),"WPL:")),0,L35*$C$20/$C$16)</t>
  </si>
  <si>
    <t>=WENN(ODER(ISTFEHLER(M35*$C$20/$C$16),IDENTISCH(TEIL(B35,1,4),"WPL:")),0,M35*$C$20/$C$16)</t>
  </si>
  <si>
    <t>=WENN(ODER(ISTFEHLER(N35*$C$20/$C$16),IDENTISCH(TEIL(B35,1,4),"WPL:")),0,N35*$C$20/$C$16)</t>
  </si>
  <si>
    <t>=WENN(ODER(ISTFEHLER(L35*$C$21/N60),IDENTISCH(TEIL(B35,1,4),"WPL:")),0,L35*$C$21/N60)</t>
  </si>
  <si>
    <t>=WENN(ODER(ISTFEHLER(M35*$C$21/N60),IDENTISCH(TEIL(B35,1,4),"WPL:")),0,M35*$C$21/N60)</t>
  </si>
  <si>
    <t>=WENN(ODER(ISTFEHLER(M35*$C$20),IDENTISCH(TEIL(B35,1,4),"WPL:")),0,N35*$C$21/N60)</t>
  </si>
  <si>
    <t>=WENN(ODER(ISTFEHLER(L35*$C$20/$C$16),TEIL(B35,1,4)&lt;&gt;"WPL:"),0,L35*$C$20/$C$16)</t>
  </si>
  <si>
    <t>=WENN(ODER(ISTFEHLER(9960.76*$C$21/N60),TEIL(B35,1,4)&lt;&gt;"WPL:"),0,9960.76*$C$21/N60)</t>
  </si>
  <si>
    <t>=WENN(ODER(ISTFEHLER(881389.47*$C$20/$C$16),TEIL(B35,1,4)&lt;&gt;"WPL:"),0,881389.47*$C$20/$C$16)</t>
  </si>
  <si>
    <t>=WENN(ODER(ISTFEHLER(L35*$C$21/N60),TEIL(B35,1,4)&lt;&gt;"WPL:"),0,L35*$C$21/N60)</t>
  </si>
  <si>
    <t>=WENN(ODER(ISTFEHLER(881389.47*$C$20),TEIL(B35,1,4)&lt;&gt;"WPL:"),0,881389.47*$C$21/N60)</t>
  </si>
  <si>
    <t xml:space="preserve">07.06.2011                    </t>
  </si>
  <si>
    <t xml:space="preserve">25.10.2021                    </t>
  </si>
  <si>
    <t>12</t>
  </si>
  <si>
    <t>FRANCE O.A.T. 3% 12-25/04/2022</t>
  </si>
  <si>
    <t>FR0011196856</t>
  </si>
  <si>
    <t>FR0011196856=SOLA</t>
  </si>
  <si>
    <t>=WENN(ODER(ISTFEHLER(L36*$C$20/$C$16),IDENTISCH(TEIL(B36,1,4),"WPL:")),0,L36*$C$20/$C$16)</t>
  </si>
  <si>
    <t>=WENN(ODER(ISTFEHLER(M36*$C$20/$C$16),IDENTISCH(TEIL(B36,1,4),"WPL:")),0,M36*$C$20/$C$16)</t>
  </si>
  <si>
    <t>=WENN(ODER(ISTFEHLER(N36*$C$20/$C$16),IDENTISCH(TEIL(B36,1,4),"WPL:")),0,N36*$C$20/$C$16)</t>
  </si>
  <si>
    <t>=WENN(ODER(ISTFEHLER(L36*$C$21/N60),IDENTISCH(TEIL(B36,1,4),"WPL:")),0,L36*$C$21/N60)</t>
  </si>
  <si>
    <t>=WENN(ODER(ISTFEHLER(M36*$C$21/N60),IDENTISCH(TEIL(B36,1,4),"WPL:")),0,M36*$C$21/N60)</t>
  </si>
  <si>
    <t>=WENN(ODER(ISTFEHLER(M36*$C$20),IDENTISCH(TEIL(B36,1,4),"WPL:")),0,N36*$C$21/N60)</t>
  </si>
  <si>
    <t>=WENN(ODER(ISTFEHLER(L36*$C$20/$C$16),TEIL(B36,1,4)&lt;&gt;"WPL:"),0,L36*$C$20/$C$16)</t>
  </si>
  <si>
    <t>=WENN(ODER(ISTFEHLER(22105.48*$C$21/N60),TEIL(B36,1,4)&lt;&gt;"WPL:"),0,22105.48*$C$21/N60)</t>
  </si>
  <si>
    <t>=WENN(ODER(ISTFEHLER(952403.53*$C$20/$C$16),TEIL(B36,1,4)&lt;&gt;"WPL:"),0,952403.53*$C$20/$C$16)</t>
  </si>
  <si>
    <t>=WENN(ODER(ISTFEHLER(L36*$C$21/N60),TEIL(B36,1,4)&lt;&gt;"WPL:"),0,L36*$C$21/N60)</t>
  </si>
  <si>
    <t>=WENN(ODER(ISTFEHLER(952403.53*$C$20),TEIL(B36,1,4)&lt;&gt;"WPL:"),0,952403.53*$C$21/N60)</t>
  </si>
  <si>
    <t xml:space="preserve">07.02.2012                    </t>
  </si>
  <si>
    <t xml:space="preserve">25.04.2022                    </t>
  </si>
  <si>
    <t>13</t>
  </si>
  <si>
    <t>WPL:FRANCE O.A.T. 3% 12-25/04/2022</t>
  </si>
  <si>
    <t>=WENN(ODER(ISTFEHLER(L37*$C$20/$C$16),IDENTISCH(TEIL(B37,1,4),"WPL:")),0,L37*$C$20/$C$16)</t>
  </si>
  <si>
    <t>=WENN(ODER(ISTFEHLER(M37*$C$20/$C$16),IDENTISCH(TEIL(B37,1,4),"WPL:")),0,M37*$C$20/$C$16)</t>
  </si>
  <si>
    <t>=WENN(ODER(ISTFEHLER(N37*$C$20/$C$16),IDENTISCH(TEIL(B37,1,4),"WPL:")),0,N37*$C$20/$C$16)</t>
  </si>
  <si>
    <t>=WENN(ODER(ISTFEHLER(L37*$C$21/N60),IDENTISCH(TEIL(B37,1,4),"WPL:")),0,L37*$C$21/N60)</t>
  </si>
  <si>
    <t>=WENN(ODER(ISTFEHLER(M37*$C$21/N60),IDENTISCH(TEIL(B37,1,4),"WPL:")),0,M37*$C$21/N60)</t>
  </si>
  <si>
    <t>=WENN(ODER(ISTFEHLER(M37*$C$20),IDENTISCH(TEIL(B37,1,4),"WPL:")),0,N37*$C$21/N60)</t>
  </si>
  <si>
    <t>=WENN(ODER(ISTFEHLER(L37*$C$20/$C$16),TEIL(B37,1,4)&lt;&gt;"WPL:"),0,L37*$C$20/$C$16)</t>
  </si>
  <si>
    <t>=WENN(ODER(ISTFEHLER(688.1991864239999*$C$21/N60),TEIL(B37,1,4)&lt;&gt;"WPL:"),0,688.1991864239999*$C$21/N60)</t>
  </si>
  <si>
    <t>=WENN(ODER(ISTFEHLER(28962.51831*$C$20/$C$16),TEIL(B37,1,4)&lt;&gt;"WPL:"),0,28962.51831*$C$20/$C$16)</t>
  </si>
  <si>
    <t>=WENN(ODER(ISTFEHLER(L37*$C$21/N60),TEIL(B37,1,4)&lt;&gt;"WPL:"),0,L37*$C$21/N60)</t>
  </si>
  <si>
    <t>=WENN(ODER(ISTFEHLER(28962.51831*$C$20),TEIL(B37,1,4)&lt;&gt;"WPL:"),0,28962.51831*$C$21/N60)</t>
  </si>
  <si>
    <t>14</t>
  </si>
  <si>
    <t>IRISH GOVT 4.5% 04-18/04/2020</t>
  </si>
  <si>
    <t>IE0034074488</t>
  </si>
  <si>
    <t>IE0034074488=SOLA</t>
  </si>
  <si>
    <t>Irland</t>
  </si>
  <si>
    <t>=WENN(ODER(ISTFEHLER(L38*$C$20/$C$16),IDENTISCH(TEIL(B38,1,4),"WPL:")),0,L38*$C$20/$C$16)</t>
  </si>
  <si>
    <t>=WENN(ODER(ISTFEHLER(M38*$C$20/$C$16),IDENTISCH(TEIL(B38,1,4),"WPL:")),0,M38*$C$20/$C$16)</t>
  </si>
  <si>
    <t>=WENN(ODER(ISTFEHLER(N38*$C$20/$C$16),IDENTISCH(TEIL(B38,1,4),"WPL:")),0,N38*$C$20/$C$16)</t>
  </si>
  <si>
    <t>=WENN(ODER(ISTFEHLER(L38*$C$21/N60),IDENTISCH(TEIL(B38,1,4),"WPL:")),0,L38*$C$21/N60)</t>
  </si>
  <si>
    <t>=WENN(ODER(ISTFEHLER(M38*$C$21/N60),IDENTISCH(TEIL(B38,1,4),"WPL:")),0,M38*$C$21/N60)</t>
  </si>
  <si>
    <t>=WENN(ODER(ISTFEHLER(M38*$C$20),IDENTISCH(TEIL(B38,1,4),"WPL:")),0,N38*$C$21/N60)</t>
  </si>
  <si>
    <t>=WENN(ODER(ISTFEHLER(L38*$C$20/$C$16),TEIL(B38,1,4)&lt;&gt;"WPL:"),0,L38*$C$20/$C$16)</t>
  </si>
  <si>
    <t>=WENN(ODER(ISTFEHLER(36936.12*$C$21/N60),TEIL(B38,1,4)&lt;&gt;"WPL:"),0,36936.12*$C$21/N60)</t>
  </si>
  <si>
    <t>=WENN(ODER(ISTFEHLER(1053632.08*$C$20/$C$16),TEIL(B38,1,4)&lt;&gt;"WPL:"),0,1053632.08*$C$20/$C$16)</t>
  </si>
  <si>
    <t>=WENN(ODER(ISTFEHLER(L38*$C$21/N60),TEIL(B38,1,4)&lt;&gt;"WPL:"),0,L38*$C$21/N60)</t>
  </si>
  <si>
    <t>=WENN(ODER(ISTFEHLER(1053632.08*$C$20),TEIL(B38,1,4)&lt;&gt;"WPL:"),0,1053632.08*$C$21/N60)</t>
  </si>
  <si>
    <t xml:space="preserve">23.01.2004                    </t>
  </si>
  <si>
    <t xml:space="preserve">18.04.2020                    </t>
  </si>
  <si>
    <t>15</t>
  </si>
  <si>
    <t>IRISH GOVT 4.5% 07-18/10/2018</t>
  </si>
  <si>
    <t>IE00B28HXX02</t>
  </si>
  <si>
    <t>IE00B28HXX02=SOLA</t>
  </si>
  <si>
    <t>=WENN(ODER(ISTFEHLER(L39*$C$20/$C$16),IDENTISCH(TEIL(B39,1,4),"WPL:")),0,L39*$C$20/$C$16)</t>
  </si>
  <si>
    <t>=WENN(ODER(ISTFEHLER(M39*$C$20/$C$16),IDENTISCH(TEIL(B39,1,4),"WPL:")),0,M39*$C$20/$C$16)</t>
  </si>
  <si>
    <t>=WENN(ODER(ISTFEHLER(N39*$C$20/$C$16),IDENTISCH(TEIL(B39,1,4),"WPL:")),0,N39*$C$20/$C$16)</t>
  </si>
  <si>
    <t>=WENN(ODER(ISTFEHLER(L39*$C$21/N60),IDENTISCH(TEIL(B39,1,4),"WPL:")),0,L39*$C$21/N60)</t>
  </si>
  <si>
    <t>=WENN(ODER(ISTFEHLER(M39*$C$21/N60),IDENTISCH(TEIL(B39,1,4),"WPL:")),0,M39*$C$21/N60)</t>
  </si>
  <si>
    <t>=WENN(ODER(ISTFEHLER(M39*$C$20),IDENTISCH(TEIL(B39,1,4),"WPL:")),0,N39*$C$21/N60)</t>
  </si>
  <si>
    <t>=WENN(ODER(ISTFEHLER(L39*$C$20/$C$16),TEIL(B39,1,4)&lt;&gt;"WPL:"),0,L39*$C$20/$C$16)</t>
  </si>
  <si>
    <t>=WENN(ODER(ISTFEHLER(13480.27*$C$21/N60),TEIL(B39,1,4)&lt;&gt;"WPL:"),0,13480.27*$C$21/N60)</t>
  </si>
  <si>
    <t>=WENN(ODER(ISTFEHLER(777823.67*$C$20/$C$16),TEIL(B39,1,4)&lt;&gt;"WPL:"),0,777823.67*$C$20/$C$16)</t>
  </si>
  <si>
    <t>=WENN(ODER(ISTFEHLER(L39*$C$21/N60),TEIL(B39,1,4)&lt;&gt;"WPL:"),0,L39*$C$21/N60)</t>
  </si>
  <si>
    <t>=WENN(ODER(ISTFEHLER(777823.67*$C$20),TEIL(B39,1,4)&lt;&gt;"WPL:"),0,777823.67*$C$21/N60)</t>
  </si>
  <si>
    <t xml:space="preserve">23.10.2007                    </t>
  </si>
  <si>
    <t xml:space="preserve">18.10.2018                    </t>
  </si>
  <si>
    <t>16</t>
  </si>
  <si>
    <t>IRISH GOVT 5.4% 09-13/03/2025</t>
  </si>
  <si>
    <t>IE00B4TV0D44</t>
  </si>
  <si>
    <t>IE00B4TV0D44=SOLA</t>
  </si>
  <si>
    <t>=WENN(ODER(ISTFEHLER(L40*$C$20/$C$16),IDENTISCH(TEIL(B40,1,4),"WPL:")),0,L40*$C$20/$C$16)</t>
  </si>
  <si>
    <t>=WENN(ODER(ISTFEHLER(M40*$C$20/$C$16),IDENTISCH(TEIL(B40,1,4),"WPL:")),0,M40*$C$20/$C$16)</t>
  </si>
  <si>
    <t>=WENN(ODER(ISTFEHLER(N40*$C$20/$C$16),IDENTISCH(TEIL(B40,1,4),"WPL:")),0,N40*$C$20/$C$16)</t>
  </si>
  <si>
    <t>=WENN(ODER(ISTFEHLER(L40*$C$21/N60),IDENTISCH(TEIL(B40,1,4),"WPL:")),0,L40*$C$21/N60)</t>
  </si>
  <si>
    <t>=WENN(ODER(ISTFEHLER(M40*$C$21/N60),IDENTISCH(TEIL(B40,1,4),"WPL:")),0,M40*$C$21/N60)</t>
  </si>
  <si>
    <t>=WENN(ODER(ISTFEHLER(M40*$C$20),IDENTISCH(TEIL(B40,1,4),"WPL:")),0,N40*$C$21/N60)</t>
  </si>
  <si>
    <t>=WENN(ODER(ISTFEHLER(L40*$C$20/$C$16),TEIL(B40,1,4)&lt;&gt;"WPL:"),0,L40*$C$20/$C$16)</t>
  </si>
  <si>
    <t>=WENN(ODER(ISTFEHLER(1064.02*$C$21/N60),TEIL(B40,1,4)&lt;&gt;"WPL:"),0,1064.02*$C$21/N60)</t>
  </si>
  <si>
    <t>=WENN(ODER(ISTFEHLER(1211068.58*$C$20/$C$16),TEIL(B40,1,4)&lt;&gt;"WPL:"),0,1211068.58*$C$20/$C$16)</t>
  </si>
  <si>
    <t>=WENN(ODER(ISTFEHLER(L40*$C$21/N60),TEIL(B40,1,4)&lt;&gt;"WPL:"),0,L40*$C$21/N60)</t>
  </si>
  <si>
    <t>=WENN(ODER(ISTFEHLER(1211068.58*$C$20),TEIL(B40,1,4)&lt;&gt;"WPL:"),0,1211068.58*$C$21/N60)</t>
  </si>
  <si>
    <t xml:space="preserve">13.10.2009                    </t>
  </si>
  <si>
    <t xml:space="preserve">13.03.2025                    </t>
  </si>
  <si>
    <t>17</t>
  </si>
  <si>
    <t>IRISH GOVT 5% 10-18/10/2020</t>
  </si>
  <si>
    <t>IE00B60Z6194</t>
  </si>
  <si>
    <t>IE00B60Z6194=SOLA</t>
  </si>
  <si>
    <t>=WENN(ODER(ISTFEHLER(L41*$C$20/$C$16),IDENTISCH(TEIL(B41,1,4),"WPL:")),0,L41*$C$20/$C$16)</t>
  </si>
  <si>
    <t>=WENN(ODER(ISTFEHLER(M41*$C$20/$C$16),IDENTISCH(TEIL(B41,1,4),"WPL:")),0,M41*$C$20/$C$16)</t>
  </si>
  <si>
    <t>=WENN(ODER(ISTFEHLER(N41*$C$20/$C$16),IDENTISCH(TEIL(B41,1,4),"WPL:")),0,N41*$C$20/$C$16)</t>
  </si>
  <si>
    <t>=WENN(ODER(ISTFEHLER(L41*$C$21/N60),IDENTISCH(TEIL(B41,1,4),"WPL:")),0,L41*$C$21/N60)</t>
  </si>
  <si>
    <t>=WENN(ODER(ISTFEHLER(M41*$C$21/N60),IDENTISCH(TEIL(B41,1,4),"WPL:")),0,M41*$C$21/N60)</t>
  </si>
  <si>
    <t>=WENN(ODER(ISTFEHLER(M41*$C$20),IDENTISCH(TEIL(B41,1,4),"WPL:")),0,N41*$C$21/N60)</t>
  </si>
  <si>
    <t>=WENN(ODER(ISTFEHLER(L41*$C$20/$C$16),TEIL(B41,1,4)&lt;&gt;"WPL:"),0,L41*$C$20/$C$16)</t>
  </si>
  <si>
    <t>=WENN(ODER(ISTFEHLER(13459.18*$C$21/N60),TEIL(B41,1,4)&lt;&gt;"WPL:"),0,13459.18*$C$21/N60)</t>
  </si>
  <si>
    <t>=WENN(ODER(ISTFEHLER(768835.87*$C$20/$C$16),TEIL(B41,1,4)&lt;&gt;"WPL:"),0,768835.87*$C$20/$C$16)</t>
  </si>
  <si>
    <t>=WENN(ODER(ISTFEHLER(L41*$C$21/N60),TEIL(B41,1,4)&lt;&gt;"WPL:"),0,L41*$C$21/N60)</t>
  </si>
  <si>
    <t>=WENN(ODER(ISTFEHLER(768835.87*$C$20),TEIL(B41,1,4)&lt;&gt;"WPL:"),0,768835.87*$C$21/N60)</t>
  </si>
  <si>
    <t xml:space="preserve">21.01.2010                    </t>
  </si>
  <si>
    <t xml:space="preserve">18.10.2020                    </t>
  </si>
  <si>
    <t>18</t>
  </si>
  <si>
    <t>IRISH GOVT 3.4% 14-18/03/2024</t>
  </si>
  <si>
    <t>IE00B6X95T99</t>
  </si>
  <si>
    <t>IE00B6X95T99=SOLA</t>
  </si>
  <si>
    <t>=WENN(ODER(ISTFEHLER(L42*$C$20/$C$16),IDENTISCH(TEIL(B42,1,4),"WPL:")),0,L42*$C$20/$C$16)</t>
  </si>
  <si>
    <t>=WENN(ODER(ISTFEHLER(M42*$C$20/$C$16),IDENTISCH(TEIL(B42,1,4),"WPL:")),0,M42*$C$20/$C$16)</t>
  </si>
  <si>
    <t>=WENN(ODER(ISTFEHLER(N42*$C$20/$C$16),IDENTISCH(TEIL(B42,1,4),"WPL:")),0,N42*$C$20/$C$16)</t>
  </si>
  <si>
    <t>=WENN(ODER(ISTFEHLER(L42*$C$21/N60),IDENTISCH(TEIL(B42,1,4),"WPL:")),0,L42*$C$21/N60)</t>
  </si>
  <si>
    <t>=WENN(ODER(ISTFEHLER(M42*$C$21/N60),IDENTISCH(TEIL(B42,1,4),"WPL:")),0,M42*$C$21/N60)</t>
  </si>
  <si>
    <t>=WENN(ODER(ISTFEHLER(M42*$C$20),IDENTISCH(TEIL(B42,1,4),"WPL:")),0,N42*$C$21/N60)</t>
  </si>
  <si>
    <t>=WENN(ODER(ISTFEHLER(L42*$C$20/$C$16),TEIL(B42,1,4)&lt;&gt;"WPL:"),0,L42*$C$20/$C$16)</t>
  </si>
  <si>
    <t>=WENN(ODER(ISTFEHLER(21698.89*$C$21/N60),TEIL(B42,1,4)&lt;&gt;"WPL:"),0,21698.89*$C$21/N60)</t>
  </si>
  <si>
    <t>=WENN(ODER(ISTFEHLER(772976.21*$C$20/$C$16),TEIL(B42,1,4)&lt;&gt;"WPL:"),0,772976.21*$C$20/$C$16)</t>
  </si>
  <si>
    <t>=WENN(ODER(ISTFEHLER(L42*$C$21/N60),TEIL(B42,1,4)&lt;&gt;"WPL:"),0,L42*$C$21/N60)</t>
  </si>
  <si>
    <t>=WENN(ODER(ISTFEHLER(772976.21*$C$20),TEIL(B42,1,4)&lt;&gt;"WPL:"),0,772976.21*$C$21/N60)</t>
  </si>
  <si>
    <t xml:space="preserve">18.03.2024                    </t>
  </si>
  <si>
    <t>19</t>
  </si>
  <si>
    <t>ITALY BTPS 3.75% 06-01/08/2021</t>
  </si>
  <si>
    <t>IT0004009673</t>
  </si>
  <si>
    <t>IT0004009673=SOLA</t>
  </si>
  <si>
    <t>Italien, Republik</t>
  </si>
  <si>
    <t>Italien</t>
  </si>
  <si>
    <t>=WENN(ODER(ISTFEHLER(L43*$C$20/$C$16),IDENTISCH(TEIL(B43,1,4),"WPL:")),0,L43*$C$20/$C$16)</t>
  </si>
  <si>
    <t>=WENN(ODER(ISTFEHLER(M43*$C$20/$C$16),IDENTISCH(TEIL(B43,1,4),"WPL:")),0,M43*$C$20/$C$16)</t>
  </si>
  <si>
    <t>=WENN(ODER(ISTFEHLER(N43*$C$20/$C$16),IDENTISCH(TEIL(B43,1,4),"WPL:")),0,N43*$C$20/$C$16)</t>
  </si>
  <si>
    <t>=WENN(ODER(ISTFEHLER(L43*$C$21/N60),IDENTISCH(TEIL(B43,1,4),"WPL:")),0,L43*$C$21/N60)</t>
  </si>
  <si>
    <t>=WENN(ODER(ISTFEHLER(M43*$C$21/N60),IDENTISCH(TEIL(B43,1,4),"WPL:")),0,M43*$C$21/N60)</t>
  </si>
  <si>
    <t>=WENN(ODER(ISTFEHLER(M43*$C$20),IDENTISCH(TEIL(B43,1,4),"WPL:")),0,N43*$C$21/N60)</t>
  </si>
  <si>
    <t>=WENN(ODER(ISTFEHLER(L43*$C$20/$C$16),TEIL(B43,1,4)&lt;&gt;"WPL:"),0,L43*$C$20/$C$16)</t>
  </si>
  <si>
    <t>=WENN(ODER(ISTFEHLER(4420.46*$C$21/N60),TEIL(B43,1,4)&lt;&gt;"WPL:"),0,4420.46*$C$21/N60)</t>
  </si>
  <si>
    <t>=WENN(ODER(ISTFEHLER(999922.66*$C$20/$C$16),TEIL(B43,1,4)&lt;&gt;"WPL:"),0,999922.66*$C$20/$C$16)</t>
  </si>
  <si>
    <t>=WENN(ODER(ISTFEHLER(L43*$C$21/N60),TEIL(B43,1,4)&lt;&gt;"WPL:"),0,L43*$C$21/N60)</t>
  </si>
  <si>
    <t>=WENN(ODER(ISTFEHLER(999922.66*$C$20),TEIL(B43,1,4)&lt;&gt;"WPL:"),0,999922.66*$C$21/N60)</t>
  </si>
  <si>
    <t xml:space="preserve">01.02.2006                    </t>
  </si>
  <si>
    <t xml:space="preserve">01.08.2021                    </t>
  </si>
  <si>
    <t>20</t>
  </si>
  <si>
    <t>ITALY BTPS 4.5% 08-01/08/2018</t>
  </si>
  <si>
    <t>IT0004361041</t>
  </si>
  <si>
    <t>IT0004361041=SOLA</t>
  </si>
  <si>
    <t>=WENN(ODER(ISTFEHLER(L44*$C$20/$C$16),IDENTISCH(TEIL(B44,1,4),"WPL:")),0,L44*$C$20/$C$16)</t>
  </si>
  <si>
    <t>=WENN(ODER(ISTFEHLER(M44*$C$20/$C$16),IDENTISCH(TEIL(B44,1,4),"WPL:")),0,M44*$C$20/$C$16)</t>
  </si>
  <si>
    <t>=WENN(ODER(ISTFEHLER(N44*$C$20/$C$16),IDENTISCH(TEIL(B44,1,4),"WPL:")),0,N44*$C$20/$C$16)</t>
  </si>
  <si>
    <t>=WENN(ODER(ISTFEHLER(L44*$C$21/N60),IDENTISCH(TEIL(B44,1,4),"WPL:")),0,L44*$C$21/N60)</t>
  </si>
  <si>
    <t>=WENN(ODER(ISTFEHLER(M44*$C$21/N60),IDENTISCH(TEIL(B44,1,4),"WPL:")),0,M44*$C$21/N60)</t>
  </si>
  <si>
    <t>=WENN(ODER(ISTFEHLER(M44*$C$20),IDENTISCH(TEIL(B44,1,4),"WPL:")),0,N44*$C$21/N60)</t>
  </si>
  <si>
    <t>=WENN(ODER(ISTFEHLER(L44*$C$20/$C$16),TEIL(B44,1,4)&lt;&gt;"WPL:"),0,L44*$C$20/$C$16)</t>
  </si>
  <si>
    <t>=WENN(ODER(ISTFEHLER(4755.62*$C$21/N60),TEIL(B44,1,4)&lt;&gt;"WPL:"),0,4755.62*$C$21/N60)</t>
  </si>
  <si>
    <t>=WENN(ODER(ISTFEHLER(851533.05*$C$20/$C$16),TEIL(B44,1,4)&lt;&gt;"WPL:"),0,851533.05*$C$20/$C$16)</t>
  </si>
  <si>
    <t>=WENN(ODER(ISTFEHLER(L44*$C$21/N60),TEIL(B44,1,4)&lt;&gt;"WPL:"),0,L44*$C$21/N60)</t>
  </si>
  <si>
    <t>=WENN(ODER(ISTFEHLER(851533.05*$C$20),TEIL(B44,1,4)&lt;&gt;"WPL:"),0,851533.05*$C$21/N60)</t>
  </si>
  <si>
    <t xml:space="preserve">02.05.2008                    </t>
  </si>
  <si>
    <t xml:space="preserve">01.08.2018                    </t>
  </si>
  <si>
    <t>21</t>
  </si>
  <si>
    <t>ITALY BTPS 4.25% 09-01/09/2019</t>
  </si>
  <si>
    <t>IT0004489610</t>
  </si>
  <si>
    <t>IT0004489610=SOLA</t>
  </si>
  <si>
    <t>=WENN(ODER(ISTFEHLER(L45*$C$20/$C$16),IDENTISCH(TEIL(B45,1,4),"WPL:")),0,L45*$C$20/$C$16)</t>
  </si>
  <si>
    <t>=WENN(ODER(ISTFEHLER(M45*$C$20/$C$16),IDENTISCH(TEIL(B45,1,4),"WPL:")),0,M45*$C$20/$C$16)</t>
  </si>
  <si>
    <t>=WENN(ODER(ISTFEHLER(N45*$C$20/$C$16),IDENTISCH(TEIL(B45,1,4),"WPL:")),0,N45*$C$20/$C$16)</t>
  </si>
  <si>
    <t>=WENN(ODER(ISTFEHLER(L45*$C$21/N60),IDENTISCH(TEIL(B45,1,4),"WPL:")),0,L45*$C$21/N60)</t>
  </si>
  <si>
    <t>=WENN(ODER(ISTFEHLER(M45*$C$21/N60),IDENTISCH(TEIL(B45,1,4),"WPL:")),0,M45*$C$21/N60)</t>
  </si>
  <si>
    <t>=WENN(ODER(ISTFEHLER(M45*$C$20),IDENTISCH(TEIL(B45,1,4),"WPL:")),0,N45*$C$21/N60)</t>
  </si>
  <si>
    <t>=WENN(ODER(ISTFEHLER(L45*$C$20/$C$16),TEIL(B45,1,4)&lt;&gt;"WPL:"),0,L45*$C$20/$C$16)</t>
  </si>
  <si>
    <t>=WENN(ODER(ISTFEHLER(1824.74*$C$21/N60),TEIL(B45,1,4)&lt;&gt;"WPL:"),0,1824.74*$C$21/N60)</t>
  </si>
  <si>
    <t>=WENN(ODER(ISTFEHLER(866091.06*$C$20/$C$16),TEIL(B45,1,4)&lt;&gt;"WPL:"),0,866091.06*$C$20/$C$16)</t>
  </si>
  <si>
    <t>=WENN(ODER(ISTFEHLER(L45*$C$21/N60),TEIL(B45,1,4)&lt;&gt;"WPL:"),0,L45*$C$21/N60)</t>
  </si>
  <si>
    <t>=WENN(ODER(ISTFEHLER(866091.06*$C$20),TEIL(B45,1,4)&lt;&gt;"WPL:"),0,866091.06*$C$21/N60)</t>
  </si>
  <si>
    <t xml:space="preserve">04.05.2009                    </t>
  </si>
  <si>
    <t xml:space="preserve">01.09.2019                    </t>
  </si>
  <si>
    <t>22</t>
  </si>
  <si>
    <t>WPL:ITALY BTPS 4.25% 09-01/09/2019</t>
  </si>
  <si>
    <t>=WENN(ODER(ISTFEHLER(L46*$C$20/$C$16),IDENTISCH(TEIL(B46,1,4),"WPL:")),0,L46*$C$20/$C$16)</t>
  </si>
  <si>
    <t>=WENN(ODER(ISTFEHLER(M46*$C$20/$C$16),IDENTISCH(TEIL(B46,1,4),"WPL:")),0,M46*$C$20/$C$16)</t>
  </si>
  <si>
    <t>=WENN(ODER(ISTFEHLER(N46*$C$20/$C$16),IDENTISCH(TEIL(B46,1,4),"WPL:")),0,N46*$C$20/$C$16)</t>
  </si>
  <si>
    <t>=WENN(ODER(ISTFEHLER(L46*$C$21/N60),IDENTISCH(TEIL(B46,1,4),"WPL:")),0,L46*$C$21/N60)</t>
  </si>
  <si>
    <t>=WENN(ODER(ISTFEHLER(M46*$C$21/N60),IDENTISCH(TEIL(B46,1,4),"WPL:")),0,M46*$C$21/N60)</t>
  </si>
  <si>
    <t>=WENN(ODER(ISTFEHLER(M46*$C$20),IDENTISCH(TEIL(B46,1,4),"WPL:")),0,N46*$C$21/N60)</t>
  </si>
  <si>
    <t>=WENN(ODER(ISTFEHLER(L46*$C$20/$C$16),TEIL(B46,1,4)&lt;&gt;"WPL:"),0,L46*$C$20/$C$16)</t>
  </si>
  <si>
    <t>=WENN(ODER(ISTFEHLER(1459.7936*$C$21/N60),TEIL(B46,1,4)&lt;&gt;"WPL:"),0,1459.7936*$C$21/N60)</t>
  </si>
  <si>
    <t>=WENN(ODER(ISTFEHLER(691413.0560000001*$C$20/$C$16),TEIL(B46,1,4)&lt;&gt;"WPL:"),0,691413.0560000001*$C$20/$C$16)</t>
  </si>
  <si>
    <t>=WENN(ODER(ISTFEHLER(L46*$C$21/N60),TEIL(B46,1,4)&lt;&gt;"WPL:"),0,L46*$C$21/N60)</t>
  </si>
  <si>
    <t>=WENN(ODER(ISTFEHLER(691413.0560000001*$C$20),TEIL(B46,1,4)&lt;&gt;"WPL:"),0,691413.0560000001*$C$21/N60)</t>
  </si>
  <si>
    <t>23</t>
  </si>
  <si>
    <t>ITALY BTPS 4% 10-01/09/2020</t>
  </si>
  <si>
    <t>IT0004594930</t>
  </si>
  <si>
    <t>IT0004594930=SOLA</t>
  </si>
  <si>
    <t>=WENN(ODER(ISTFEHLER(L47*$C$20/$C$16),IDENTISCH(TEIL(B47,1,4),"WPL:")),0,L47*$C$20/$C$16)</t>
  </si>
  <si>
    <t>=WENN(ODER(ISTFEHLER(M47*$C$20/$C$16),IDENTISCH(TEIL(B47,1,4),"WPL:")),0,M47*$C$20/$C$16)</t>
  </si>
  <si>
    <t>=WENN(ODER(ISTFEHLER(N47*$C$20/$C$16),IDENTISCH(TEIL(B47,1,4),"WPL:")),0,N47*$C$20/$C$16)</t>
  </si>
  <si>
    <t>=WENN(ODER(ISTFEHLER(L47*$C$21/N60),IDENTISCH(TEIL(B47,1,4),"WPL:")),0,L47*$C$21/N60)</t>
  </si>
  <si>
    <t>=WENN(ODER(ISTFEHLER(M47*$C$21/N60),IDENTISCH(TEIL(B47,1,4),"WPL:")),0,M47*$C$21/N60)</t>
  </si>
  <si>
    <t>=WENN(ODER(ISTFEHLER(M47*$C$20),IDENTISCH(TEIL(B47,1,4),"WPL:")),0,N47*$C$21/N60)</t>
  </si>
  <si>
    <t>=WENN(ODER(ISTFEHLER(L47*$C$20/$C$16),TEIL(B47,1,4)&lt;&gt;"WPL:"),0,L47*$C$20/$C$16)</t>
  </si>
  <si>
    <t>=WENN(ODER(ISTFEHLER(1710.86*$C$21/N60),TEIL(B47,1,4)&lt;&gt;"WPL:"),0,1710.86*$C$21/N60)</t>
  </si>
  <si>
    <t>=WENN(ODER(ISTFEHLER(879373.26*$C$20/$C$16),TEIL(B47,1,4)&lt;&gt;"WPL:"),0,879373.26*$C$20/$C$16)</t>
  </si>
  <si>
    <t>=WENN(ODER(ISTFEHLER(L47*$C$21/N60),TEIL(B47,1,4)&lt;&gt;"WPL:"),0,L47*$C$21/N60)</t>
  </si>
  <si>
    <t>=WENN(ODER(ISTFEHLER(879373.26*$C$20),TEIL(B47,1,4)&lt;&gt;"WPL:"),0,879373.26*$C$21/N60)</t>
  </si>
  <si>
    <t xml:space="preserve">01.04.2010                    </t>
  </si>
  <si>
    <t xml:space="preserve">01.09.2020                    </t>
  </si>
  <si>
    <t>24</t>
  </si>
  <si>
    <t>WPL:ITALY BTPS 4% 10-01/09/2020</t>
  </si>
  <si>
    <t>=WENN(ODER(ISTFEHLER(L48*$C$20/$C$16),IDENTISCH(TEIL(B48,1,4),"WPL:")),0,L48*$C$20/$C$16)</t>
  </si>
  <si>
    <t>=WENN(ODER(ISTFEHLER(M48*$C$20/$C$16),IDENTISCH(TEIL(B48,1,4),"WPL:")),0,M48*$C$20/$C$16)</t>
  </si>
  <si>
    <t>=WENN(ODER(ISTFEHLER(N48*$C$20/$C$16),IDENTISCH(TEIL(B48,1,4),"WPL:")),0,N48*$C$20/$C$16)</t>
  </si>
  <si>
    <t>=WENN(ODER(ISTFEHLER(L48*$C$21/N60),IDENTISCH(TEIL(B48,1,4),"WPL:")),0,L48*$C$21/N60)</t>
  </si>
  <si>
    <t>=WENN(ODER(ISTFEHLER(M48*$C$21/N60),IDENTISCH(TEIL(B48,1,4),"WPL:")),0,M48*$C$21/N60)</t>
  </si>
  <si>
    <t>=WENN(ODER(ISTFEHLER(M48*$C$20),IDENTISCH(TEIL(B48,1,4),"WPL:")),0,N48*$C$21/N60)</t>
  </si>
  <si>
    <t>=WENN(ODER(ISTFEHLER(L48*$C$20/$C$16),TEIL(B48,1,4)&lt;&gt;"WPL:"),0,L48*$C$20/$C$16)</t>
  </si>
  <si>
    <t>=WENN(ODER(ISTFEHLER(1339.1224*$C$21/N60),TEIL(B48,1,4)&lt;&gt;"WPL:"),0,1339.1224*$C$21/N60)</t>
  </si>
  <si>
    <t>=WENN(ODER(ISTFEHLER(686963.2*$C$20/$C$16),TEIL(B48,1,4)&lt;&gt;"WPL:"),0,686963.2*$C$20/$C$16)</t>
  </si>
  <si>
    <t>=WENN(ODER(ISTFEHLER(L48*$C$21/N60),TEIL(B48,1,4)&lt;&gt;"WPL:"),0,L48*$C$21/N60)</t>
  </si>
  <si>
    <t>=WENN(ODER(ISTFEHLER(686963.2*$C$20),TEIL(B48,1,4)&lt;&gt;"WPL:"),0,686963.2*$C$21/N60)</t>
  </si>
  <si>
    <t>25</t>
  </si>
  <si>
    <t>ITALY BTPS 4.75% 11-01/09/2021</t>
  </si>
  <si>
    <t>IT0004695075</t>
  </si>
  <si>
    <t>IT0004695075=SOLA</t>
  </si>
  <si>
    <t>=WENN(ODER(ISTFEHLER(L49*$C$20/$C$16),IDENTISCH(TEIL(B49,1,4),"WPL:")),0,L49*$C$20/$C$16)</t>
  </si>
  <si>
    <t>=WENN(ODER(ISTFEHLER(M49*$C$20/$C$16),IDENTISCH(TEIL(B49,1,4),"WPL:")),0,M49*$C$20/$C$16)</t>
  </si>
  <si>
    <t>=WENN(ODER(ISTFEHLER(N49*$C$20/$C$16),IDENTISCH(TEIL(B49,1,4),"WPL:")),0,N49*$C$20/$C$16)</t>
  </si>
  <si>
    <t>=WENN(ODER(ISTFEHLER(L49*$C$21/N60),IDENTISCH(TEIL(B49,1,4),"WPL:")),0,L49*$C$21/N60)</t>
  </si>
  <si>
    <t>=WENN(ODER(ISTFEHLER(M49*$C$21/N60),IDENTISCH(TEIL(B49,1,4),"WPL:")),0,M49*$C$21/N60)</t>
  </si>
  <si>
    <t>=WENN(ODER(ISTFEHLER(M49*$C$20),IDENTISCH(TEIL(B49,1,4),"WPL:")),0,N49*$C$21/N60)</t>
  </si>
  <si>
    <t>=WENN(ODER(ISTFEHLER(L49*$C$20/$C$16),TEIL(B49,1,4)&lt;&gt;"WPL:"),0,L49*$C$20/$C$16)</t>
  </si>
  <si>
    <t>=WENN(ODER(ISTFEHLER(2036.8*$C$21/N60),TEIL(B49,1,4)&lt;&gt;"WPL:"),0,2036.8*$C$21/N60)</t>
  </si>
  <si>
    <t>=WENN(ODER(ISTFEHLER(919299.8*$C$20/$C$16),TEIL(B49,1,4)&lt;&gt;"WPL:"),0,919299.8*$C$20/$C$16)</t>
  </si>
  <si>
    <t>=WENN(ODER(ISTFEHLER(L49*$C$21/N60),TEIL(B49,1,4)&lt;&gt;"WPL:"),0,L49*$C$21/N60)</t>
  </si>
  <si>
    <t>=WENN(ODER(ISTFEHLER(919299.8*$C$20),TEIL(B49,1,4)&lt;&gt;"WPL:"),0,919299.8*$C$21/N60)</t>
  </si>
  <si>
    <t xml:space="preserve">01.03.2011                    </t>
  </si>
  <si>
    <t xml:space="preserve">01.09.2021                    </t>
  </si>
  <si>
    <t>26</t>
  </si>
  <si>
    <t>DUCHY OF LUX 2.125% 13-10/07/2023</t>
  </si>
  <si>
    <t>LU0945626439</t>
  </si>
  <si>
    <t>LU0945626439=SOLA</t>
  </si>
  <si>
    <t>Luxemburg, Großherzogtum</t>
  </si>
  <si>
    <t>Luxemburg</t>
  </si>
  <si>
    <t>=WENN(ODER(ISTFEHLER(L50*$C$20/$C$16),IDENTISCH(TEIL(B50,1,4),"WPL:")),0,L50*$C$20/$C$16)</t>
  </si>
  <si>
    <t>=WENN(ODER(ISTFEHLER(M50*$C$20/$C$16),IDENTISCH(TEIL(B50,1,4),"WPL:")),0,M50*$C$20/$C$16)</t>
  </si>
  <si>
    <t>=WENN(ODER(ISTFEHLER(N50*$C$20/$C$16),IDENTISCH(TEIL(B50,1,4),"WPL:")),0,N50*$C$20/$C$16)</t>
  </si>
  <si>
    <t>=WENN(ODER(ISTFEHLER(L50*$C$21/N60),IDENTISCH(TEIL(B50,1,4),"WPL:")),0,L50*$C$21/N60)</t>
  </si>
  <si>
    <t>=WENN(ODER(ISTFEHLER(M50*$C$21/N60),IDENTISCH(TEIL(B50,1,4),"WPL:")),0,M50*$C$21/N60)</t>
  </si>
  <si>
    <t>=WENN(ODER(ISTFEHLER(M50*$C$20),IDENTISCH(TEIL(B50,1,4),"WPL:")),0,N50*$C$21/N60)</t>
  </si>
  <si>
    <t>=WENN(ODER(ISTFEHLER(L50*$C$20/$C$16),TEIL(B50,1,4)&lt;&gt;"WPL:"),0,L50*$C$20/$C$16)</t>
  </si>
  <si>
    <t>=WENN(ODER(ISTFEHLER(6107.31*$C$21/N60),TEIL(B50,1,4)&lt;&gt;"WPL:"),0,6107.31*$C$21/N60)</t>
  </si>
  <si>
    <t>=WENN(ODER(ISTFEHLER(470648.06*$C$20/$C$16),TEIL(B50,1,4)&lt;&gt;"WPL:"),0,470648.06*$C$20/$C$16)</t>
  </si>
  <si>
    <t>=WENN(ODER(ISTFEHLER(L50*$C$21/N60),TEIL(B50,1,4)&lt;&gt;"WPL:"),0,L50*$C$21/N60)</t>
  </si>
  <si>
    <t>=WENN(ODER(ISTFEHLER(470648.06*$C$20),TEIL(B50,1,4)&lt;&gt;"WPL:"),0,470648.06*$C$21/N60)</t>
  </si>
  <si>
    <t xml:space="preserve">10.07.2013                    </t>
  </si>
  <si>
    <t xml:space="preserve">10.07.2023                    </t>
  </si>
  <si>
    <t>27</t>
  </si>
  <si>
    <t>SLOVAKIA GOVT 4% 10-27/04/2020</t>
  </si>
  <si>
    <t>SK4120007204</t>
  </si>
  <si>
    <t>SK4120007204=SOLA</t>
  </si>
  <si>
    <t>Slowakei</t>
  </si>
  <si>
    <t>=WENN(ODER(ISTFEHLER(L51*$C$20/$C$16),IDENTISCH(TEIL(B51,1,4),"WPL:")),0,L51*$C$20/$C$16)</t>
  </si>
  <si>
    <t>=WENN(ODER(ISTFEHLER(M51*$C$20/$C$16),IDENTISCH(TEIL(B51,1,4),"WPL:")),0,M51*$C$20/$C$16)</t>
  </si>
  <si>
    <t>=WENN(ODER(ISTFEHLER(N51*$C$20/$C$16),IDENTISCH(TEIL(B51,1,4),"WPL:")),0,N51*$C$20/$C$16)</t>
  </si>
  <si>
    <t>=WENN(ODER(ISTFEHLER(L51*$C$21/N60),IDENTISCH(TEIL(B51,1,4),"WPL:")),0,L51*$C$21/N60)</t>
  </si>
  <si>
    <t>=WENN(ODER(ISTFEHLER(M51*$C$21/N60),IDENTISCH(TEIL(B51,1,4),"WPL:")),0,M51*$C$21/N60)</t>
  </si>
  <si>
    <t>=WENN(ODER(ISTFEHLER(M51*$C$20),IDENTISCH(TEIL(B51,1,4),"WPL:")),0,N51*$C$21/N60)</t>
  </si>
  <si>
    <t>=WENN(ODER(ISTFEHLER(L51*$C$20/$C$16),TEIL(B51,1,4)&lt;&gt;"WPL:"),0,L51*$C$20/$C$16)</t>
  </si>
  <si>
    <t>=WENN(ODER(ISTFEHLER(22286.03*$C$21/N60),TEIL(B51,1,4)&lt;&gt;"WPL:"),0,22286.03*$C$21/N60)</t>
  </si>
  <si>
    <t>=WENN(ODER(ISTFEHLER(726062.91*$C$20/$C$16),TEIL(B51,1,4)&lt;&gt;"WPL:"),0,726062.91*$C$20/$C$16)</t>
  </si>
  <si>
    <t>=WENN(ODER(ISTFEHLER(L51*$C$21/N60),TEIL(B51,1,4)&lt;&gt;"WPL:"),0,L51*$C$21/N60)</t>
  </si>
  <si>
    <t>=WENN(ODER(ISTFEHLER(726062.91*$C$20),TEIL(B51,1,4)&lt;&gt;"WPL:"),0,726062.91*$C$21/N60)</t>
  </si>
  <si>
    <t xml:space="preserve">27.04.2010                    </t>
  </si>
  <si>
    <t xml:space="preserve">27.04.2020                    </t>
  </si>
  <si>
    <t>28</t>
  </si>
  <si>
    <t>SLOVAKIA GOVT 4.35% 10-14/10/2025</t>
  </si>
  <si>
    <t>SK4120007543</t>
  </si>
  <si>
    <t>SK4120007543=SOLA</t>
  </si>
  <si>
    <t>=WENN(ODER(ISTFEHLER(L52*$C$20/$C$16),IDENTISCH(TEIL(B52,1,4),"WPL:")),0,L52*$C$20/$C$16)</t>
  </si>
  <si>
    <t>=WENN(ODER(ISTFEHLER(M52*$C$20/$C$16),IDENTISCH(TEIL(B52,1,4),"WPL:")),0,M52*$C$20/$C$16)</t>
  </si>
  <si>
    <t>=WENN(ODER(ISTFEHLER(N52*$C$20/$C$16),IDENTISCH(TEIL(B52,1,4),"WPL:")),0,N52*$C$20/$C$16)</t>
  </si>
  <si>
    <t>=WENN(ODER(ISTFEHLER(L52*$C$21/N60),IDENTISCH(TEIL(B52,1,4),"WPL:")),0,L52*$C$21/N60)</t>
  </si>
  <si>
    <t>=WENN(ODER(ISTFEHLER(M52*$C$21/N60),IDENTISCH(TEIL(B52,1,4),"WPL:")),0,M52*$C$21/N60)</t>
  </si>
  <si>
    <t>=WENN(ODER(ISTFEHLER(M52*$C$20),IDENTISCH(TEIL(B52,1,4),"WPL:")),0,N52*$C$21/N60)</t>
  </si>
  <si>
    <t>=WENN(ODER(ISTFEHLER(L52*$C$20/$C$16),TEIL(B52,1,4)&lt;&gt;"WPL:"),0,L52*$C$20/$C$16)</t>
  </si>
  <si>
    <t>=WENN(ODER(ISTFEHLER(11674.68*$C$21/N60),TEIL(B52,1,4)&lt;&gt;"WPL:"),0,11674.68*$C$21/N60)</t>
  </si>
  <si>
    <t>=WENN(ODER(ISTFEHLER(831903.68*$C$20/$C$16),TEIL(B52,1,4)&lt;&gt;"WPL:"),0,831903.68*$C$20/$C$16)</t>
  </si>
  <si>
    <t>=WENN(ODER(ISTFEHLER(L52*$C$21/N60),TEIL(B52,1,4)&lt;&gt;"WPL:"),0,L52*$C$21/N60)</t>
  </si>
  <si>
    <t>=WENN(ODER(ISTFEHLER(831903.68*$C$20),TEIL(B52,1,4)&lt;&gt;"WPL:"),0,831903.68*$C$21/N60)</t>
  </si>
  <si>
    <t xml:space="preserve">14.10.2010                    </t>
  </si>
  <si>
    <t xml:space="preserve">14.10.2025                    </t>
  </si>
  <si>
    <t>29</t>
  </si>
  <si>
    <t>WPL:SLOVAKIA GOVT 4.35% 10-14/10/2025</t>
  </si>
  <si>
    <t>=WENN(ODER(ISTFEHLER(L53*$C$20/$C$16),IDENTISCH(TEIL(B53,1,4),"WPL:")),0,L53*$C$20/$C$16)</t>
  </si>
  <si>
    <t>=WENN(ODER(ISTFEHLER(M53*$C$20/$C$16),IDENTISCH(TEIL(B53,1,4),"WPL:")),0,M53*$C$20/$C$16)</t>
  </si>
  <si>
    <t>=WENN(ODER(ISTFEHLER(N53*$C$20/$C$16),IDENTISCH(TEIL(B53,1,4),"WPL:")),0,N53*$C$20/$C$16)</t>
  </si>
  <si>
    <t>=WENN(ODER(ISTFEHLER(L53*$C$21/N60),IDENTISCH(TEIL(B53,1,4),"WPL:")),0,L53*$C$21/N60)</t>
  </si>
  <si>
    <t>=WENN(ODER(ISTFEHLER(M53*$C$21/N60),IDENTISCH(TEIL(B53,1,4),"WPL:")),0,M53*$C$21/N60)</t>
  </si>
  <si>
    <t>=WENN(ODER(ISTFEHLER(M53*$C$20),IDENTISCH(TEIL(B53,1,4),"WPL:")),0,N53*$C$21/N60)</t>
  </si>
  <si>
    <t>=WENN(ODER(ISTFEHLER(L53*$C$20/$C$16),TEIL(B53,1,4)&lt;&gt;"WPL:"),0,L53*$C$20/$C$16)</t>
  </si>
  <si>
    <t>=WENN(ODER(ISTFEHLER(9339.747952*$C$21/N60),TEIL(B53,1,4)&lt;&gt;"WPL:"),0,9339.747952*$C$21/N60)</t>
  </si>
  <si>
    <t>=WENN(ODER(ISTFEHLER(656183.2*$C$20/$C$16),TEIL(B53,1,4)&lt;&gt;"WPL:"),0,656183.2*$C$20/$C$16)</t>
  </si>
  <si>
    <t>=WENN(ODER(ISTFEHLER(L53*$C$21/N60),TEIL(B53,1,4)&lt;&gt;"WPL:"),0,L53*$C$21/N60)</t>
  </si>
  <si>
    <t>=WENN(ODER(ISTFEHLER(656183.2*$C$20),TEIL(B53,1,4)&lt;&gt;"WPL:"),0,656183.2*$C$21/N60)</t>
  </si>
  <si>
    <t>30</t>
  </si>
  <si>
    <t>SLOVAKIA GOVT 3.375% 12-15/11/2024</t>
  </si>
  <si>
    <t>SK4120008871</t>
  </si>
  <si>
    <t>SK4120008871=SOLA</t>
  </si>
  <si>
    <t>=WENN(ODER(ISTFEHLER(L54*$C$20/$C$16),IDENTISCH(TEIL(B54,1,4),"WPL:")),0,L54*$C$20/$C$16)</t>
  </si>
  <si>
    <t>=WENN(ODER(ISTFEHLER(M54*$C$20/$C$16),IDENTISCH(TEIL(B54,1,4),"WPL:")),0,M54*$C$20/$C$16)</t>
  </si>
  <si>
    <t>=WENN(ODER(ISTFEHLER(N54*$C$20/$C$16),IDENTISCH(TEIL(B54,1,4),"WPL:")),0,N54*$C$20/$C$16)</t>
  </si>
  <si>
    <t>=WENN(ODER(ISTFEHLER(L54*$C$21/N60),IDENTISCH(TEIL(B54,1,4),"WPL:")),0,L54*$C$21/N60)</t>
  </si>
  <si>
    <t>=WENN(ODER(ISTFEHLER(M54*$C$21/N60),IDENTISCH(TEIL(B54,1,4),"WPL:")),0,M54*$C$21/N60)</t>
  </si>
  <si>
    <t>=WENN(ODER(ISTFEHLER(M54*$C$20),IDENTISCH(TEIL(B54,1,4),"WPL:")),0,N54*$C$21/N60)</t>
  </si>
  <si>
    <t>=WENN(ODER(ISTFEHLER(L54*$C$20/$C$16),TEIL(B54,1,4)&lt;&gt;"WPL:"),0,L54*$C$20/$C$16)</t>
  </si>
  <si>
    <t>=WENN(ODER(ISTFEHLER(7002.06*$C$21/N60),TEIL(B54,1,4)&lt;&gt;"WPL:"),0,7002.06*$C$21/N60)</t>
  </si>
  <si>
    <t>=WENN(ODER(ISTFEHLER(730524.32*$C$20/$C$16),TEIL(B54,1,4)&lt;&gt;"WPL:"),0,730524.32*$C$20/$C$16)</t>
  </si>
  <si>
    <t>=WENN(ODER(ISTFEHLER(L54*$C$21/N60),TEIL(B54,1,4)&lt;&gt;"WPL:"),0,L54*$C$21/N60)</t>
  </si>
  <si>
    <t>=WENN(ODER(ISTFEHLER(730524.32*$C$20),TEIL(B54,1,4)&lt;&gt;"WPL:"),0,730524.32*$C$21/N60)</t>
  </si>
  <si>
    <t xml:space="preserve">15.11.2012                    </t>
  </si>
  <si>
    <t xml:space="preserve">15.11.2024                    </t>
  </si>
  <si>
    <t>31</t>
  </si>
  <si>
    <t>SLOVAKIA GOVT 3% 13-28/02/2023</t>
  </si>
  <si>
    <t>SK4120009044</t>
  </si>
  <si>
    <t>SK4120009044=SOLA</t>
  </si>
  <si>
    <t>=WENN(ODER(ISTFEHLER(L55*$C$20/$C$16),IDENTISCH(TEIL(B55,1,4),"WPL:")),0,L55*$C$20/$C$16)</t>
  </si>
  <si>
    <t>=WENN(ODER(ISTFEHLER(M55*$C$20/$C$16),IDENTISCH(TEIL(B55,1,4),"WPL:")),0,M55*$C$20/$C$16)</t>
  </si>
  <si>
    <t>=WENN(ODER(ISTFEHLER(N55*$C$20/$C$16),IDENTISCH(TEIL(B55,1,4),"WPL:")),0,N55*$C$20/$C$16)</t>
  </si>
  <si>
    <t>=WENN(ODER(ISTFEHLER(L55*$C$21/N60),IDENTISCH(TEIL(B55,1,4),"WPL:")),0,L55*$C$21/N60)</t>
  </si>
  <si>
    <t>=WENN(ODER(ISTFEHLER(M55*$C$21/N60),IDENTISCH(TEIL(B55,1,4),"WPL:")),0,M55*$C$21/N60)</t>
  </si>
  <si>
    <t>=WENN(ODER(ISTFEHLER(M55*$C$20),IDENTISCH(TEIL(B55,1,4),"WPL:")),0,N55*$C$21/N60)</t>
  </si>
  <si>
    <t>=WENN(ODER(ISTFEHLER(L55*$C$20/$C$16),TEIL(B55,1,4)&lt;&gt;"WPL:"),0,L55*$C$20/$C$16)</t>
  </si>
  <si>
    <t>=WENN(ODER(ISTFEHLER(1070.14*$C$21/N60),TEIL(B55,1,4)&lt;&gt;"WPL:"),0,1070.14*$C$21/N60)</t>
  </si>
  <si>
    <t>=WENN(ODER(ISTFEHLER(728547.14*$C$20/$C$16),TEIL(B55,1,4)&lt;&gt;"WPL:"),0,728547.14*$C$20/$C$16)</t>
  </si>
  <si>
    <t>=WENN(ODER(ISTFEHLER(L55*$C$21/N60),TEIL(B55,1,4)&lt;&gt;"WPL:"),0,L55*$C$21/N60)</t>
  </si>
  <si>
    <t>=WENN(ODER(ISTFEHLER(728547.14*$C$20),TEIL(B55,1,4)&lt;&gt;"WPL:"),0,728547.14*$C$21/N60)</t>
  </si>
  <si>
    <t xml:space="preserve">28.02.2013                    </t>
  </si>
  <si>
    <t xml:space="preserve">28.02.2023                    </t>
  </si>
  <si>
    <t>32</t>
  </si>
  <si>
    <t>SLOVAK REPUBLIC 1.5% 13-28/11/2018</t>
  </si>
  <si>
    <t>SK4120009234</t>
  </si>
  <si>
    <t>SK4120009234=SOLA</t>
  </si>
  <si>
    <t>=WENN(ODER(ISTFEHLER(L56*$C$20/$C$16),IDENTISCH(TEIL(B56,1,4),"WPL:")),0,L56*$C$20/$C$16)</t>
  </si>
  <si>
    <t>=WENN(ODER(ISTFEHLER(M56*$C$20/$C$16),IDENTISCH(TEIL(B56,1,4),"WPL:")),0,M56*$C$20/$C$16)</t>
  </si>
  <si>
    <t>=WENN(ODER(ISTFEHLER(N56*$C$20/$C$16),IDENTISCH(TEIL(B56,1,4),"WPL:")),0,N56*$C$20/$C$16)</t>
  </si>
  <si>
    <t>=WENN(ODER(ISTFEHLER(L56*$C$21/N60),IDENTISCH(TEIL(B56,1,4),"WPL:")),0,L56*$C$21/N60)</t>
  </si>
  <si>
    <t>=WENN(ODER(ISTFEHLER(M56*$C$21/N60),IDENTISCH(TEIL(B56,1,4),"WPL:")),0,M56*$C$21/N60)</t>
  </si>
  <si>
    <t>=WENN(ODER(ISTFEHLER(M56*$C$20),IDENTISCH(TEIL(B56,1,4),"WPL:")),0,N56*$C$21/N60)</t>
  </si>
  <si>
    <t>=WENN(ODER(ISTFEHLER(L56*$C$20/$C$16),TEIL(B56,1,4)&lt;&gt;"WPL:"),0,L56*$C$20/$C$16)</t>
  </si>
  <si>
    <t>=WENN(ODER(ISTFEHLER(2879.18*$C$21/N60),TEIL(B56,1,4)&lt;&gt;"WPL:"),0,2879.18*$C$21/N60)</t>
  </si>
  <si>
    <t>=WENN(ODER(ISTFEHLER(641670.14*$C$20/$C$16),TEIL(B56,1,4)&lt;&gt;"WPL:"),0,641670.14*$C$20/$C$16)</t>
  </si>
  <si>
    <t>=WENN(ODER(ISTFEHLER(L56*$C$21/N60),TEIL(B56,1,4)&lt;&gt;"WPL:"),0,L56*$C$21/N60)</t>
  </si>
  <si>
    <t>=WENN(ODER(ISTFEHLER(641670.14*$C$20),TEIL(B56,1,4)&lt;&gt;"WPL:"),0,641670.14*$C$21/N60)</t>
  </si>
  <si>
    <t xml:space="preserve">28.05.2013                    </t>
  </si>
  <si>
    <t xml:space="preserve">28.11.2018                    </t>
  </si>
  <si>
    <t>33</t>
  </si>
  <si>
    <t>LUXEMBOURG GOVT 3.375% 10-18/05/2020</t>
  </si>
  <si>
    <t>XS0506445963</t>
  </si>
  <si>
    <t>XS0506445963=SOLA</t>
  </si>
  <si>
    <t>=WENN(ODER(ISTFEHLER(L57*$C$20/$C$16),IDENTISCH(TEIL(B57,1,4),"WPL:")),0,L57*$C$20/$C$16)</t>
  </si>
  <si>
    <t>=WENN(ODER(ISTFEHLER(M57*$C$20/$C$16),IDENTISCH(TEIL(B57,1,4),"WPL:")),0,M57*$C$20/$C$16)</t>
  </si>
  <si>
    <t>=WENN(ODER(ISTFEHLER(N57*$C$20/$C$16),IDENTISCH(TEIL(B57,1,4),"WPL:")),0,N57*$C$20/$C$16)</t>
  </si>
  <si>
    <t>=WENN(ODER(ISTFEHLER(L57*$C$21/N60),IDENTISCH(TEIL(B57,1,4),"WPL:")),0,L57*$C$21/N60)</t>
  </si>
  <si>
    <t>=WENN(ODER(ISTFEHLER(M57*$C$21/N60),IDENTISCH(TEIL(B57,1,4),"WPL:")),0,M57*$C$21/N60)</t>
  </si>
  <si>
    <t>=WENN(ODER(ISTFEHLER(M57*$C$20),IDENTISCH(TEIL(B57,1,4),"WPL:")),0,N57*$C$21/N60)</t>
  </si>
  <si>
    <t>=WENN(ODER(ISTFEHLER(L57*$C$20/$C$16),TEIL(B57,1,4)&lt;&gt;"WPL:"),0,L57*$C$20/$C$16)</t>
  </si>
  <si>
    <t>=WENN(ODER(ISTFEHLER(11723.83*$C$21/N60),TEIL(B57,1,4)&lt;&gt;"WPL:"),0,11723.83*$C$21/N60)</t>
  </si>
  <si>
    <t>=WENN(ODER(ISTFEHLER(472499.67*$C$20/$C$16),TEIL(B57,1,4)&lt;&gt;"WPL:"),0,472499.67*$C$20/$C$16)</t>
  </si>
  <si>
    <t>=WENN(ODER(ISTFEHLER(L57*$C$21/N60),TEIL(B57,1,4)&lt;&gt;"WPL:"),0,L57*$C$21/N60)</t>
  </si>
  <si>
    <t>=WENN(ODER(ISTFEHLER(472499.67*$C$20),TEIL(B57,1,4)&lt;&gt;"WPL:"),0,472499.67*$C$21/N60)</t>
  </si>
  <si>
    <t xml:space="preserve">18.05.2010                    </t>
  </si>
  <si>
    <t xml:space="preserve">18.05.2020                    </t>
  </si>
  <si>
    <t>Barbestand (DekaBank, Kontokorrentkonto, -0,353% Zinsen*)</t>
  </si>
  <si>
    <t>Sonstige Forderungen und Verbindlichkeiten</t>
  </si>
  <si>
    <t>Gesamtfonds-Ebene</t>
  </si>
  <si>
    <t>=SUMME(l25:l59)</t>
  </si>
  <si>
    <t>=SUMME(m25:m59)</t>
  </si>
  <si>
    <t>=SUMME(n25:n59)</t>
  </si>
  <si>
    <t>=SUMME(o25:o59)</t>
  </si>
  <si>
    <t>=SUMME(p25:p59)</t>
  </si>
  <si>
    <t>=SUMME(q25:q59)</t>
  </si>
  <si>
    <t>=SUMME(r25:r59)</t>
  </si>
  <si>
    <t>=SUMME(s25:s59)</t>
  </si>
  <si>
    <t>Aufgeteilt nach Emittenten</t>
  </si>
  <si>
    <t>128625</t>
  </si>
  <si>
    <t>=WENN(ISTFEHLER(L68*$C$20/$C$16),0,L68*$C$20/$C$16)</t>
  </si>
  <si>
    <t>=WENN(ISTFEHLER(M68*$C$20/$C$16),0,M68*$C$20/$C$16)</t>
  </si>
  <si>
    <t>=WENN(ISTFEHLER(N68*$C$20/$C$16),0,N68*$C$20/$C$16)</t>
  </si>
  <si>
    <t>=WENN(ISTFEHLER(L68*$C$21/N81),0,L68*$C$21/N81)</t>
  </si>
  <si>
    <t>=WENN(ISTFEHLER(M68*$C$21/N81),0,M68*$C$21/N81)</t>
  </si>
  <si>
    <t>=WENN(ISTFEHLER(O68*$C$21/N81),0,O68*$C$21/N81)</t>
  </si>
  <si>
    <t>239000</t>
  </si>
  <si>
    <t>DekaBank Deutsche Girozentrale Anstalt des öffentlichen Rechts</t>
  </si>
  <si>
    <t>=WENN(ISTFEHLER(L69*$C$20/$C$16),0,L69*$C$20/$C$16)</t>
  </si>
  <si>
    <t>=WENN(ISTFEHLER(M69*$C$20/$C$16),0,M69*$C$20/$C$16)</t>
  </si>
  <si>
    <t>=WENN(ISTFEHLER(N69*$C$20/$C$16),0,N69*$C$20/$C$16)</t>
  </si>
  <si>
    <t>=WENN(ISTFEHLER(L69*$C$21/N82),0,L69*$C$21/N82)</t>
  </si>
  <si>
    <t>=WENN(ISTFEHLER(M69*$C$21/N82),0,M69*$C$21/N82)</t>
  </si>
  <si>
    <t>=WENN(ISTFEHLER(O69*$C$21/N82),0,O69*$C$21/N82)</t>
  </si>
  <si>
    <t>450287</t>
  </si>
  <si>
    <t>=WENN(ISTFEHLER(L70*$C$20/$C$16),0,L70*$C$20/$C$16)</t>
  </si>
  <si>
    <t>=WENN(ISTFEHLER(M70*$C$20/$C$16),0,M70*$C$20/$C$16)</t>
  </si>
  <si>
    <t>=WENN(ISTFEHLER(N70*$C$20/$C$16),0,N70*$C$20/$C$16)</t>
  </si>
  <si>
    <t>=WENN(ISTFEHLER(L70*$C$21/N83),0,L70*$C$21/N83)</t>
  </si>
  <si>
    <t>=WENN(ISTFEHLER(M70*$C$21/N83),0,M70*$C$21/N83)</t>
  </si>
  <si>
    <t>=WENN(ISTFEHLER(O70*$C$21/N83),0,O70*$C$21/N83)</t>
  </si>
  <si>
    <t>452875</t>
  </si>
  <si>
    <t>=WENN(ISTFEHLER(L71*$C$20/$C$16),0,L71*$C$20/$C$16)</t>
  </si>
  <si>
    <t>=WENN(ISTFEHLER(M71*$C$20/$C$16),0,M71*$C$20/$C$16)</t>
  </si>
  <si>
    <t>=WENN(ISTFEHLER(N71*$C$20/$C$16),0,N71*$C$20/$C$16)</t>
  </si>
  <si>
    <t>=WENN(ISTFEHLER(L71*$C$21/N84),0,L71*$C$21/N84)</t>
  </si>
  <si>
    <t>=WENN(ISTFEHLER(M71*$C$21/N84),0,M71*$C$21/N84)</t>
  </si>
  <si>
    <t>=WENN(ISTFEHLER(O71*$C$21/N84),0,O71*$C$21/N84)</t>
  </si>
  <si>
    <t>458634</t>
  </si>
  <si>
    <t>=WENN(ISTFEHLER(L72*$C$20/$C$16),0,L72*$C$20/$C$16)</t>
  </si>
  <si>
    <t>=WENN(ISTFEHLER(M72*$C$20/$C$16),0,M72*$C$20/$C$16)</t>
  </si>
  <si>
    <t>=WENN(ISTFEHLER(N72*$C$20/$C$16),0,N72*$C$20/$C$16)</t>
  </si>
  <si>
    <t>=WENN(ISTFEHLER(L72*$C$21/N85),0,L72*$C$21/N85)</t>
  </si>
  <si>
    <t>=WENN(ISTFEHLER(M72*$C$21/N85),0,M72*$C$21/N85)</t>
  </si>
  <si>
    <t>=WENN(ISTFEHLER(O72*$C$21/N85),0,O72*$C$21/N85)</t>
  </si>
  <si>
    <t>464541</t>
  </si>
  <si>
    <t>=WENN(ISTFEHLER(L73*$C$20/$C$16),0,L73*$C$20/$C$16)</t>
  </si>
  <si>
    <t>=WENN(ISTFEHLER(M73*$C$20/$C$16),0,M73*$C$20/$C$16)</t>
  </si>
  <si>
    <t>=WENN(ISTFEHLER(N73*$C$20/$C$16),0,N73*$C$20/$C$16)</t>
  </si>
  <si>
    <t>=WENN(ISTFEHLER(L73*$C$21/N86),0,L73*$C$21/N86)</t>
  </si>
  <si>
    <t>=WENN(ISTFEHLER(M73*$C$21/N86),0,M73*$C$21/N86)</t>
  </si>
  <si>
    <t>=WENN(ISTFEHLER(O73*$C$21/N86),0,O73*$C$21/N86)</t>
  </si>
  <si>
    <t>465688</t>
  </si>
  <si>
    <t>=WENN(ISTFEHLER(L74*$C$20/$C$16),0,L74*$C$20/$C$16)</t>
  </si>
  <si>
    <t>=WENN(ISTFEHLER(M74*$C$20/$C$16),0,M74*$C$20/$C$16)</t>
  </si>
  <si>
    <t>=WENN(ISTFEHLER(N74*$C$20/$C$16),0,N74*$C$20/$C$16)</t>
  </si>
  <si>
    <t>=WENN(ISTFEHLER(L74*$C$21/N87),0,L74*$C$21/N87)</t>
  </si>
  <si>
    <t>=WENN(ISTFEHLER(M74*$C$21/N87),0,M74*$C$21/N87)</t>
  </si>
  <si>
    <t>=WENN(ISTFEHLER(O74*$C$21/N87),0,O74*$C$21/N87)</t>
  </si>
  <si>
    <t>ABGEGR ZINSFORD/WERTP-LEIHE</t>
  </si>
  <si>
    <t>=WENN(ISTFEHLER(L75*$C$20/$C$16),0,L75*$C$20/$C$16)</t>
  </si>
  <si>
    <t>=WENN(ISTFEHLER(M75*$C$20/$C$16),0,M75*$C$20/$C$16)</t>
  </si>
  <si>
    <t>=WENN(ISTFEHLER(N75*$C$20/$C$16),0,N75*$C$20/$C$16)</t>
  </si>
  <si>
    <t>=WENN(ISTFEHLER(L75*$C$21/N88),0,L75*$C$21/N88)</t>
  </si>
  <si>
    <t>=WENN(ISTFEHLER(M75*$C$21/N88),0,M75*$C$21/N88)</t>
  </si>
  <si>
    <t>=WENN(ISTFEHLER(O75*$C$21/N88),0,O75*$C$21/N88)</t>
  </si>
  <si>
    <t>RÜCKFORDERBARE QUEST/ZINSEN</t>
  </si>
  <si>
    <t>=WENN(ISTFEHLER(L76*$C$20/$C$16),0,L76*$C$20/$C$16)</t>
  </si>
  <si>
    <t>=WENN(ISTFEHLER(M76*$C$20/$C$16),0,M76*$C$20/$C$16)</t>
  </si>
  <si>
    <t>=WENN(ISTFEHLER(N76*$C$20/$C$16),0,N76*$C$20/$C$16)</t>
  </si>
  <si>
    <t>=WENN(ISTFEHLER(L76*$C$21/N89),0,L76*$C$21/N89)</t>
  </si>
  <si>
    <t>=WENN(ISTFEHLER(M76*$C$21/N89),0,M76*$C$21/N89)</t>
  </si>
  <si>
    <t>=WENN(ISTFEHLER(O76*$C$21/N89),0,O76*$C$21/N89)</t>
  </si>
  <si>
    <t>STÜCKZINSANSPR ANLEIHEN (AUTO)</t>
  </si>
  <si>
    <t>=WENN(ISTFEHLER(L77*$C$20/$C$16),0,L77*$C$20/$C$16)</t>
  </si>
  <si>
    <t>=WENN(ISTFEHLER(M77*$C$20/$C$16),0,M77*$C$20/$C$16)</t>
  </si>
  <si>
    <t>=WENN(ISTFEHLER(N77*$C$20/$C$16),0,N77*$C$20/$C$16)</t>
  </si>
  <si>
    <t>=WENN(ISTFEHLER(L77*$C$21/N90),0,L77*$C$21/N90)</t>
  </si>
  <si>
    <t>=WENN(ISTFEHLER(M77*$C$21/N90),0,M77*$C$21/N90)</t>
  </si>
  <si>
    <t>=WENN(ISTFEHLER(O77*$C$21/N90),0,O77*$C$21/N90)</t>
  </si>
  <si>
    <t>VERB VERWALTUNGSVERGÜTUNG(AUTO</t>
  </si>
  <si>
    <t>=WENN(ISTFEHLER(L78*$C$20/$C$16),0,L78*$C$20/$C$16)</t>
  </si>
  <si>
    <t>=WENN(ISTFEHLER(M78*$C$20/$C$16),0,M78*$C$20/$C$16)</t>
  </si>
  <si>
    <t>=WENN(ISTFEHLER(N78*$C$20/$C$16),0,N78*$C$20/$C$16)</t>
  </si>
  <si>
    <t>=WENN(ISTFEHLER(L78*$C$21/N91),0,L78*$C$21/N91)</t>
  </si>
  <si>
    <t>=WENN(ISTFEHLER(M78*$C$21/N91),0,M78*$C$21/N91)</t>
  </si>
  <si>
    <t>=WENN(ISTFEHLER(O78*$C$21/N91),0,O78*$C$21/N91)</t>
  </si>
  <si>
    <t>=SUMME(L68:L80)</t>
  </si>
  <si>
    <t>=SUMME(m68:m80)</t>
  </si>
  <si>
    <t>=SUMME(n68:n80)</t>
  </si>
  <si>
    <t>=SUMME(p68:p80)</t>
  </si>
  <si>
    <t>=SUMME(q68:q80)</t>
  </si>
  <si>
    <t>=SUMME(r68:r80)</t>
  </si>
  <si>
    <t>=SUMME(s68:s80)</t>
  </si>
  <si>
    <t>=SUMME(t68:t80)</t>
  </si>
  <si>
    <t>=SUMME(u68:u80)</t>
  </si>
  <si>
    <t>=SUMME(v68:v80)</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</si>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</sst>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0" fontId="1" fillId="0" borderId="26" xfId="0" applyFont="1" applyBorder="1" applyAlignment="1">
      <alignmen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88"/>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225211</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562614.51</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358460.22</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2.4981999999999998</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458634</v>
      </c>
      <c r="F25" s="58" t="s">
        <v>74</v>
      </c>
      <c r="G25" s="61" t="s">
        <v>74</v>
      </c>
      <c r="H25" s="62">
        <v>325</v>
      </c>
      <c r="I25" s="63">
        <v>112.268</v>
      </c>
      <c r="J25" s="60" t="s">
        <v>17</v>
      </c>
      <c r="K25" s="61" t="s">
        <v>75</v>
      </c>
      <c r="L25" s="64">
        <v>781000</v>
      </c>
      <c r="M25" s="62">
        <v>27816.44</v>
      </c>
      <c r="N25" s="65">
        <v>904629.52</v>
      </c>
      <c r="O25" s="65">
        <v>3.9</v>
      </c>
      <c r="P25" s="64">
        <v>3.920118963364653</v>
      </c>
      <c r="Q25" s="66">
        <f>IF(OR(ISERROR(L25*$C$20/$C$16),EXACT(MID(B25,1,4),"WPL:")),0,L25*$C$20/$C$16)</f>
        <v>4</v>
      </c>
      <c r="R25" s="67">
        <f>IF(OR(ISERROR(M25*$C$20/$C$16),EXACT(MID(B25,1,4),"WPL:")),0,M25*$C$20/$C$16)</f>
        <v>4</v>
      </c>
      <c r="S25" s="68">
        <f>IF(OR(ISERROR(N25*$C$20/$C$16),EXACT(MID(B25,1,4),"WPL:")),0,N25*$C$20/$C$16)</f>
        <v>4</v>
      </c>
      <c r="T25" s="62">
        <f>IF(OR(ISERROR(L25*$C$21/N60),EXACT(MID(B25,1,4),"WPL:")),0,L25*$C$21/N60)</f>
        <v>4</v>
      </c>
      <c r="U25" s="62">
        <f>IF(OR(ISERROR(M25*$C$21/N60),EXACT(MID(B25,1,4),"WPL:")),0,M25*$C$21/N60)</f>
        <v>4</v>
      </c>
      <c r="V25" s="69">
        <f>IF(OR(ISERROR(M25*$C$20),EXACT(MID(B25,1,4),"WPL:")),0,N25*$C$21/N60)</f>
        <v>4</v>
      </c>
      <c r="W25" s="70">
        <f>IF(OR(ISERROR(L25*$C$20/$C$16),MID(B25,1,4)&lt;&gt;"WPL:"),0,L25*$C$20/$C$16)</f>
        <v>4</v>
      </c>
      <c r="X25" s="65">
        <f>IF(OR(ISERROR(27816.44*$C$21/N60),MID(B25,1,4)&lt;&gt;"WPL:"),0,27816.44*$C$21/N60)</f>
        <v>4</v>
      </c>
      <c r="Y25" s="71">
        <f>IF(OR(ISERROR(904629.52*$C$20/$C$16),MID(B25,1,4)&lt;&gt;"WPL:"),0,904629.52*$C$20/$C$16)</f>
        <v>4</v>
      </c>
      <c r="Z25" s="72">
        <f>IF(OR(ISERROR(L25*$C$21/N60),MID(B25,1,4)&lt;&gt;"WPL:"),0,L25*$C$21/N60)</f>
        <v>4</v>
      </c>
      <c r="AA25" s="73">
        <f>IF(OR(ISERROR(27816.44*$C$21/N60),MID(B25,1,4)&lt;&gt;"WPL:"),0,27816.44*$C$21/N60)</f>
        <v>4</v>
      </c>
      <c r="AB25" s="71">
        <f>IF(OR(ISERROR(904629.52*$C$20),MID(B25,1,4)&lt;&gt;"WPL:"),0,904629.52*$C$21/N60)</f>
        <v>4</v>
      </c>
      <c r="AC25" s="69"/>
      <c r="AD25" s="74" t="s">
        <v>87</v>
      </c>
      <c r="AE25" s="74" t="s">
        <v>88</v>
      </c>
      <c r="AF25" s="74">
        <v>3.123287671</v>
      </c>
      <c r="AG25" s="74">
        <v>4</v>
      </c>
      <c r="AH25" s="74"/>
      <c r="AI25" s="74">
        <v>0.0634434</v>
      </c>
      <c r="AJ25" s="74">
        <v>2.913905788</v>
      </c>
      <c r="AK25" s="74">
        <v>2.912058279</v>
      </c>
      <c r="AL25" s="74">
        <v>12.2010215</v>
      </c>
      <c r="AM25" s="75" t="s">
        <v>89</v>
      </c>
    </row>
    <row r="26" spans="1:39" ht="13.5" customHeight="1" outlineLevel="1">
      <c r="A26" s="57" t="s">
        <v>90</v>
      </c>
      <c r="B26" s="58" t="s">
        <v>91</v>
      </c>
      <c r="C26" s="59" t="s">
        <v>92</v>
      </c>
      <c r="D26" s="60" t="s">
        <v>93</v>
      </c>
      <c r="E26" s="60">
        <v>458634</v>
      </c>
      <c r="F26" s="58" t="s">
        <v>74</v>
      </c>
      <c r="G26" s="61" t="s">
        <v>74</v>
      </c>
      <c r="H26" s="62">
        <v>325</v>
      </c>
      <c r="I26" s="63">
        <v>121.45</v>
      </c>
      <c r="J26" s="60" t="s">
        <v>17</v>
      </c>
      <c r="K26" s="61" t="s">
        <v>75</v>
      </c>
      <c r="L26" s="64">
        <v>802000</v>
      </c>
      <c r="M26" s="62">
        <v>39276.03</v>
      </c>
      <c r="N26" s="65">
        <v>1013305.03</v>
      </c>
      <c r="O26" s="65">
        <v>4.4</v>
      </c>
      <c r="P26" s="64">
        <v>4.391053106221636</v>
      </c>
      <c r="Q26" s="66">
        <f>IF(OR(ISERROR(L26*$C$20/$C$16),EXACT(MID(B26,1,4),"WPL:")),0,L26*$C$20/$C$16)</f>
        <v>4</v>
      </c>
      <c r="R26" s="67">
        <f>IF(OR(ISERROR(M26*$C$20/$C$16),EXACT(MID(B26,1,4),"WPL:")),0,M26*$C$20/$C$16)</f>
        <v>4</v>
      </c>
      <c r="S26" s="68">
        <f>IF(OR(ISERROR(N26*$C$20/$C$16),EXACT(MID(B26,1,4),"WPL:")),0,N26*$C$20/$C$16)</f>
        <v>4</v>
      </c>
      <c r="T26" s="62">
        <f>IF(OR(ISERROR(L26*$C$21/N60),EXACT(MID(B26,1,4),"WPL:")),0,L26*$C$21/N60)</f>
        <v>4</v>
      </c>
      <c r="U26" s="62">
        <f>IF(OR(ISERROR(M26*$C$21/N60),EXACT(MID(B26,1,4),"WPL:")),0,M26*$C$21/N60)</f>
        <v>4</v>
      </c>
      <c r="V26" s="69">
        <f>IF(OR(ISERROR(M26*$C$20),EXACT(MID(B26,1,4),"WPL:")),0,N26*$C$21/N60)</f>
        <v>4</v>
      </c>
      <c r="W26" s="70">
        <f>IF(OR(ISERROR(L26*$C$20/$C$16),MID(B26,1,4)&lt;&gt;"WPL:"),0,L26*$C$20/$C$16)</f>
        <v>4</v>
      </c>
      <c r="X26" s="65">
        <f>IF(OR(ISERROR(39276.03*$C$21/N60),MID(B26,1,4)&lt;&gt;"WPL:"),0,39276.03*$C$21/N60)</f>
        <v>4</v>
      </c>
      <c r="Y26" s="71">
        <f>IF(OR(ISERROR(1013305.03*$C$20/$C$16),MID(B26,1,4)&lt;&gt;"WPL:"),0,1013305.03*$C$20/$C$16)</f>
        <v>4</v>
      </c>
      <c r="Z26" s="72">
        <f>IF(OR(ISERROR(L26*$C$21/N60),MID(B26,1,4)&lt;&gt;"WPL:"),0,L26*$C$21/N60)</f>
        <v>4</v>
      </c>
      <c r="AA26" s="73">
        <f>IF(OR(ISERROR(39276.03*$C$21/N60),MID(B26,1,4)&lt;&gt;"WPL:"),0,39276.03*$C$21/N60)</f>
        <v>4</v>
      </c>
      <c r="AB26" s="71">
        <f>IF(OR(ISERROR(1013305.03*$C$20),MID(B26,1,4)&lt;&gt;"WPL:"),0,1013305.03*$C$21/N60)</f>
        <v>4</v>
      </c>
      <c r="AC26" s="69"/>
      <c r="AD26" s="74" t="s">
        <v>105</v>
      </c>
      <c r="AE26" s="74" t="s">
        <v>106</v>
      </c>
      <c r="AF26" s="74">
        <v>4.123287671</v>
      </c>
      <c r="AG26" s="74">
        <v>5.5</v>
      </c>
      <c r="AH26" s="74"/>
      <c r="AI26" s="74">
        <v>0.2595272</v>
      </c>
      <c r="AJ26" s="74">
        <v>3.686708547</v>
      </c>
      <c r="AK26" s="74">
        <v>3.677165304</v>
      </c>
      <c r="AL26" s="74">
        <v>19.0276851</v>
      </c>
      <c r="AM26" s="75" t="s">
        <v>89</v>
      </c>
    </row>
    <row r="27" spans="1:39" ht="13.5" customHeight="1" outlineLevel="1">
      <c r="A27" s="57" t="s">
        <v>107</v>
      </c>
      <c r="B27" s="58" t="s">
        <v>108</v>
      </c>
      <c r="C27" s="59" t="s">
        <v>109</v>
      </c>
      <c r="D27" s="60" t="s">
        <v>110</v>
      </c>
      <c r="E27" s="60">
        <v>458634</v>
      </c>
      <c r="F27" s="58" t="s">
        <v>74</v>
      </c>
      <c r="G27" s="61" t="s">
        <v>74</v>
      </c>
      <c r="H27" s="62">
        <v>49</v>
      </c>
      <c r="I27" s="63">
        <v>125.668</v>
      </c>
      <c r="J27" s="60" t="s">
        <v>17</v>
      </c>
      <c r="K27" s="61" t="s">
        <v>75</v>
      </c>
      <c r="L27" s="64">
        <v>766000</v>
      </c>
      <c r="M27" s="62">
        <v>6015.72</v>
      </c>
      <c r="N27" s="65">
        <v>968632.6</v>
      </c>
      <c r="O27" s="65">
        <v>4.2</v>
      </c>
      <c r="P27" s="64">
        <v>4.19746972638391</v>
      </c>
      <c r="Q27" s="66">
        <f>IF(OR(ISERROR(L27*$C$20/$C$16),EXACT(MID(B27,1,4),"WPL:")),0,L27*$C$20/$C$16)</f>
        <v>4</v>
      </c>
      <c r="R27" s="67">
        <f>IF(OR(ISERROR(M27*$C$20/$C$16),EXACT(MID(B27,1,4),"WPL:")),0,M27*$C$20/$C$16)</f>
        <v>4</v>
      </c>
      <c r="S27" s="68">
        <f>IF(OR(ISERROR(N27*$C$20/$C$16),EXACT(MID(B27,1,4),"WPL:")),0,N27*$C$20/$C$16)</f>
        <v>4</v>
      </c>
      <c r="T27" s="62">
        <f>IF(OR(ISERROR(L27*$C$21/N60),EXACT(MID(B27,1,4),"WPL:")),0,L27*$C$21/N60)</f>
        <v>4</v>
      </c>
      <c r="U27" s="62">
        <f>IF(OR(ISERROR(M27*$C$21/N60),EXACT(MID(B27,1,4),"WPL:")),0,M27*$C$21/N60)</f>
        <v>4</v>
      </c>
      <c r="V27" s="69">
        <f>IF(OR(ISERROR(M27*$C$20),EXACT(MID(B27,1,4),"WPL:")),0,N27*$C$21/N60)</f>
        <v>4</v>
      </c>
      <c r="W27" s="70">
        <f>IF(OR(ISERROR(L27*$C$20/$C$16),MID(B27,1,4)&lt;&gt;"WPL:"),0,L27*$C$20/$C$16)</f>
        <v>4</v>
      </c>
      <c r="X27" s="65">
        <f>IF(OR(ISERROR(6015.72*$C$21/N60),MID(B27,1,4)&lt;&gt;"WPL:"),0,6015.72*$C$21/N60)</f>
        <v>4</v>
      </c>
      <c r="Y27" s="71">
        <f>IF(OR(ISERROR(968632.6*$C$20/$C$16),MID(B27,1,4)&lt;&gt;"WPL:"),0,968632.6*$C$20/$C$16)</f>
        <v>4</v>
      </c>
      <c r="Z27" s="72">
        <f>IF(OR(ISERROR(L27*$C$21/N60),MID(B27,1,4)&lt;&gt;"WPL:"),0,L27*$C$21/N60)</f>
        <v>4</v>
      </c>
      <c r="AA27" s="73">
        <f>IF(OR(ISERROR(6015.72*$C$21/N60),MID(B27,1,4)&lt;&gt;"WPL:"),0,6015.72*$C$21/N60)</f>
        <v>4</v>
      </c>
      <c r="AB27" s="71">
        <f>IF(OR(ISERROR(968632.6*$C$20),MID(B27,1,4)&lt;&gt;"WPL:"),0,968632.6*$C$21/N60)</f>
        <v>4</v>
      </c>
      <c r="AC27" s="69"/>
      <c r="AD27" s="74" t="s">
        <v>122</v>
      </c>
      <c r="AE27" s="74" t="s">
        <v>123</v>
      </c>
      <c r="AF27" s="74">
        <v>4.879452055</v>
      </c>
      <c r="AG27" s="74">
        <v>5.85</v>
      </c>
      <c r="AH27" s="74"/>
      <c r="AI27" s="74">
        <v>0.5075416</v>
      </c>
      <c r="AJ27" s="74">
        <v>4.418152929</v>
      </c>
      <c r="AK27" s="74">
        <v>4.395842201</v>
      </c>
      <c r="AL27" s="74">
        <v>24.9957613</v>
      </c>
      <c r="AM27" s="75" t="s">
        <v>89</v>
      </c>
    </row>
    <row r="28" spans="1:39" ht="13.5" customHeight="1" outlineLevel="1">
      <c r="A28" s="57" t="s">
        <v>124</v>
      </c>
      <c r="B28" s="58" t="s">
        <v>125</v>
      </c>
      <c r="C28" s="59" t="s">
        <v>126</v>
      </c>
      <c r="D28" s="60" t="s">
        <v>127</v>
      </c>
      <c r="E28" s="60">
        <v>458634</v>
      </c>
      <c r="F28" s="58" t="s">
        <v>74</v>
      </c>
      <c r="G28" s="61" t="s">
        <v>74</v>
      </c>
      <c r="H28" s="62">
        <v>325</v>
      </c>
      <c r="I28" s="63">
        <v>106.1452</v>
      </c>
      <c r="J28" s="60" t="s">
        <v>17</v>
      </c>
      <c r="K28" s="61" t="s">
        <v>75</v>
      </c>
      <c r="L28" s="64">
        <v>749000</v>
      </c>
      <c r="M28" s="62">
        <v>18340.24</v>
      </c>
      <c r="N28" s="65">
        <v>813367.79</v>
      </c>
      <c r="O28" s="65">
        <v>3.5</v>
      </c>
      <c r="P28" s="64">
        <v>3.5246456447375256</v>
      </c>
      <c r="Q28" s="66">
        <f>IF(OR(ISERROR(L28*$C$20/$C$16),EXACT(MID(B28,1,4),"WPL:")),0,L28*$C$20/$C$16)</f>
        <v>4</v>
      </c>
      <c r="R28" s="67">
        <f>IF(OR(ISERROR(M28*$C$20/$C$16),EXACT(MID(B28,1,4),"WPL:")),0,M28*$C$20/$C$16)</f>
        <v>4</v>
      </c>
      <c r="S28" s="68">
        <f>IF(OR(ISERROR(N28*$C$20/$C$16),EXACT(MID(B28,1,4),"WPL:")),0,N28*$C$20/$C$16)</f>
        <v>4</v>
      </c>
      <c r="T28" s="62">
        <f>IF(OR(ISERROR(L28*$C$21/N60),EXACT(MID(B28,1,4),"WPL:")),0,L28*$C$21/N60)</f>
        <v>4</v>
      </c>
      <c r="U28" s="62">
        <f>IF(OR(ISERROR(M28*$C$21/N60),EXACT(MID(B28,1,4),"WPL:")),0,M28*$C$21/N60)</f>
        <v>4</v>
      </c>
      <c r="V28" s="69">
        <f>IF(OR(ISERROR(M28*$C$20),EXACT(MID(B28,1,4),"WPL:")),0,N28*$C$21/N60)</f>
        <v>4</v>
      </c>
      <c r="W28" s="70">
        <f>IF(OR(ISERROR(L28*$C$20/$C$16),MID(B28,1,4)&lt;&gt;"WPL:"),0,L28*$C$20/$C$16)</f>
        <v>4</v>
      </c>
      <c r="X28" s="65">
        <f>IF(OR(ISERROR(18340.24*$C$21/N60),MID(B28,1,4)&lt;&gt;"WPL:"),0,18340.24*$C$21/N60)</f>
        <v>4</v>
      </c>
      <c r="Y28" s="71">
        <f>IF(OR(ISERROR(813367.79*$C$20/$C$16),MID(B28,1,4)&lt;&gt;"WPL:"),0,813367.79*$C$20/$C$16)</f>
        <v>4</v>
      </c>
      <c r="Z28" s="72">
        <f>IF(OR(ISERROR(L28*$C$21/N60),MID(B28,1,4)&lt;&gt;"WPL:"),0,L28*$C$21/N60)</f>
        <v>4</v>
      </c>
      <c r="AA28" s="73">
        <f>IF(OR(ISERROR(18340.24*$C$21/N60),MID(B28,1,4)&lt;&gt;"WPL:"),0,18340.24*$C$21/N60)</f>
        <v>4</v>
      </c>
      <c r="AB28" s="71">
        <f>IF(OR(ISERROR(813367.79*$C$20),MID(B28,1,4)&lt;&gt;"WPL:"),0,813367.79*$C$21/N60)</f>
        <v>4</v>
      </c>
      <c r="AC28" s="69"/>
      <c r="AD28" s="74" t="s">
        <v>139</v>
      </c>
      <c r="AE28" s="74" t="s">
        <v>140</v>
      </c>
      <c r="AF28" s="74">
        <v>2.120547945</v>
      </c>
      <c r="AG28" s="74">
        <v>2.75</v>
      </c>
      <c r="AH28" s="74"/>
      <c r="AI28" s="74">
        <v>-0.1414396</v>
      </c>
      <c r="AJ28" s="74">
        <v>2.04450366</v>
      </c>
      <c r="AK28" s="74">
        <v>2.047399493</v>
      </c>
      <c r="AL28" s="74">
        <v>6.5085043</v>
      </c>
      <c r="AM28" s="75" t="s">
        <v>89</v>
      </c>
    </row>
    <row r="29" spans="1:39" ht="13.5" customHeight="1" outlineLevel="1">
      <c r="A29" s="57" t="s">
        <v>141</v>
      </c>
      <c r="B29" s="58" t="s">
        <v>142</v>
      </c>
      <c r="C29" s="59" t="s">
        <v>143</v>
      </c>
      <c r="D29" s="60" t="s">
        <v>144</v>
      </c>
      <c r="E29" s="60">
        <v>458634</v>
      </c>
      <c r="F29" s="58" t="s">
        <v>74</v>
      </c>
      <c r="G29" s="61" t="s">
        <v>74</v>
      </c>
      <c r="H29" s="62">
        <v>141</v>
      </c>
      <c r="I29" s="63">
        <v>109.69</v>
      </c>
      <c r="J29" s="60" t="s">
        <v>17</v>
      </c>
      <c r="K29" s="61" t="s">
        <v>75</v>
      </c>
      <c r="L29" s="64">
        <v>785000</v>
      </c>
      <c r="M29" s="62">
        <v>8339.28</v>
      </c>
      <c r="N29" s="65">
        <v>869405.78</v>
      </c>
      <c r="O29" s="65">
        <v>3.8</v>
      </c>
      <c r="P29" s="64">
        <v>3.76748050963099</v>
      </c>
      <c r="Q29" s="66">
        <f>IF(OR(ISERROR(L29*$C$20/$C$16),EXACT(MID(B29,1,4),"WPL:")),0,L29*$C$20/$C$16)</f>
        <v>4</v>
      </c>
      <c r="R29" s="67">
        <f>IF(OR(ISERROR(M29*$C$20/$C$16),EXACT(MID(B29,1,4),"WPL:")),0,M29*$C$20/$C$16)</f>
        <v>4</v>
      </c>
      <c r="S29" s="68">
        <f>IF(OR(ISERROR(N29*$C$20/$C$16),EXACT(MID(B29,1,4),"WPL:")),0,N29*$C$20/$C$16)</f>
        <v>4</v>
      </c>
      <c r="T29" s="62">
        <f>IF(OR(ISERROR(L29*$C$21/N60),EXACT(MID(B29,1,4),"WPL:")),0,L29*$C$21/N60)</f>
        <v>4</v>
      </c>
      <c r="U29" s="62">
        <f>IF(OR(ISERROR(M29*$C$21/N60),EXACT(MID(B29,1,4),"WPL:")),0,M29*$C$21/N60)</f>
        <v>4</v>
      </c>
      <c r="V29" s="69">
        <f>IF(OR(ISERROR(M29*$C$20),EXACT(MID(B29,1,4),"WPL:")),0,N29*$C$21/N60)</f>
        <v>4</v>
      </c>
      <c r="W29" s="70">
        <f>IF(OR(ISERROR(L29*$C$20/$C$16),MID(B29,1,4)&lt;&gt;"WPL:"),0,L29*$C$20/$C$16)</f>
        <v>4</v>
      </c>
      <c r="X29" s="65">
        <f>IF(OR(ISERROR(8339.28*$C$21/N60),MID(B29,1,4)&lt;&gt;"WPL:"),0,8339.28*$C$21/N60)</f>
        <v>4</v>
      </c>
      <c r="Y29" s="71">
        <f>IF(OR(ISERROR(869405.78*$C$20/$C$16),MID(B29,1,4)&lt;&gt;"WPL:"),0,869405.78*$C$20/$C$16)</f>
        <v>4</v>
      </c>
      <c r="Z29" s="72">
        <f>IF(OR(ISERROR(L29*$C$21/N60),MID(B29,1,4)&lt;&gt;"WPL:"),0,L29*$C$21/N60)</f>
        <v>4</v>
      </c>
      <c r="AA29" s="73">
        <f>IF(OR(ISERROR(8339.28*$C$21/N60),MID(B29,1,4)&lt;&gt;"WPL:"),0,8339.28*$C$21/N60)</f>
        <v>4</v>
      </c>
      <c r="AB29" s="71">
        <f>IF(OR(ISERROR(869405.78*$C$20),MID(B29,1,4)&lt;&gt;"WPL:"),0,869405.78*$C$21/N60)</f>
        <v>4</v>
      </c>
      <c r="AC29" s="69"/>
      <c r="AD29" s="74" t="s">
        <v>156</v>
      </c>
      <c r="AE29" s="74" t="s">
        <v>157</v>
      </c>
      <c r="AF29" s="74">
        <v>7.630136986</v>
      </c>
      <c r="AG29" s="74">
        <v>2.75</v>
      </c>
      <c r="AH29" s="74"/>
      <c r="AI29" s="74">
        <v>1.4005168</v>
      </c>
      <c r="AJ29" s="74">
        <v>6.954162362</v>
      </c>
      <c r="AK29" s="74">
        <v>6.858113334</v>
      </c>
      <c r="AL29" s="74">
        <v>57.1820748</v>
      </c>
      <c r="AM29" s="75" t="s">
        <v>89</v>
      </c>
    </row>
    <row r="30" spans="1:39" ht="13.5" customHeight="1" outlineLevel="1">
      <c r="A30" s="57" t="s">
        <v>158</v>
      </c>
      <c r="B30" s="58" t="s">
        <v>159</v>
      </c>
      <c r="C30" s="59" t="s">
        <v>160</v>
      </c>
      <c r="D30" s="60" t="s">
        <v>161</v>
      </c>
      <c r="E30" s="60">
        <v>450287</v>
      </c>
      <c r="F30" s="58" t="s">
        <v>162</v>
      </c>
      <c r="G30" s="61" t="s">
        <v>162</v>
      </c>
      <c r="H30" s="62">
        <v>330</v>
      </c>
      <c r="I30" s="63">
        <v>115.4686</v>
      </c>
      <c r="J30" s="60" t="s">
        <v>17</v>
      </c>
      <c r="K30" s="61" t="s">
        <v>75</v>
      </c>
      <c r="L30" s="64">
        <v>751000</v>
      </c>
      <c r="M30" s="62">
        <v>25461.99</v>
      </c>
      <c r="N30" s="65">
        <v>892631.18</v>
      </c>
      <c r="O30" s="65">
        <v>3.9</v>
      </c>
      <c r="P30" s="64">
        <v>3.868125391274614</v>
      </c>
      <c r="Q30" s="66">
        <f>IF(OR(ISERROR(L30*$C$20/$C$16),EXACT(MID(B30,1,4),"WPL:")),0,L30*$C$20/$C$16)</f>
        <v>4</v>
      </c>
      <c r="R30" s="67">
        <f>IF(OR(ISERROR(M30*$C$20/$C$16),EXACT(MID(B30,1,4),"WPL:")),0,M30*$C$20/$C$16)</f>
        <v>4</v>
      </c>
      <c r="S30" s="68">
        <f>IF(OR(ISERROR(N30*$C$20/$C$16),EXACT(MID(B30,1,4),"WPL:")),0,N30*$C$20/$C$16)</f>
        <v>4</v>
      </c>
      <c r="T30" s="62">
        <f>IF(OR(ISERROR(L30*$C$21/N60),EXACT(MID(B30,1,4),"WPL:")),0,L30*$C$21/N60)</f>
        <v>4</v>
      </c>
      <c r="U30" s="62">
        <f>IF(OR(ISERROR(M30*$C$21/N60),EXACT(MID(B30,1,4),"WPL:")),0,M30*$C$21/N60)</f>
        <v>4</v>
      </c>
      <c r="V30" s="69">
        <f>IF(OR(ISERROR(M30*$C$20),EXACT(MID(B30,1,4),"WPL:")),0,N30*$C$21/N60)</f>
        <v>4</v>
      </c>
      <c r="W30" s="70">
        <f>IF(OR(ISERROR(L30*$C$20/$C$16),MID(B30,1,4)&lt;&gt;"WPL:"),0,L30*$C$20/$C$16)</f>
        <v>4</v>
      </c>
      <c r="X30" s="65">
        <f>IF(OR(ISERROR(25461.99*$C$21/N60),MID(B30,1,4)&lt;&gt;"WPL:"),0,25461.99*$C$21/N60)</f>
        <v>4</v>
      </c>
      <c r="Y30" s="71">
        <f>IF(OR(ISERROR(892631.18*$C$20/$C$16),MID(B30,1,4)&lt;&gt;"WPL:"),0,892631.18*$C$20/$C$16)</f>
        <v>4</v>
      </c>
      <c r="Z30" s="72">
        <f>IF(OR(ISERROR(L30*$C$21/N60),MID(B30,1,4)&lt;&gt;"WPL:"),0,L30*$C$21/N60)</f>
        <v>4</v>
      </c>
      <c r="AA30" s="73">
        <f>IF(OR(ISERROR(25461.99*$C$21/N60),MID(B30,1,4)&lt;&gt;"WPL:"),0,25461.99*$C$21/N60)</f>
        <v>4</v>
      </c>
      <c r="AB30" s="71">
        <f>IF(OR(ISERROR(892631.18*$C$20),MID(B30,1,4)&lt;&gt;"WPL:"),0,892631.18*$C$21/N60)</f>
        <v>4</v>
      </c>
      <c r="AC30" s="69"/>
      <c r="AD30" s="74" t="s">
        <v>174</v>
      </c>
      <c r="AE30" s="74" t="s">
        <v>175</v>
      </c>
      <c r="AF30" s="74">
        <v>4.109589041</v>
      </c>
      <c r="AG30" s="74">
        <v>3.75</v>
      </c>
      <c r="AH30" s="74"/>
      <c r="AI30" s="74">
        <v>-0.0150784</v>
      </c>
      <c r="AJ30" s="74">
        <v>3.791624814</v>
      </c>
      <c r="AK30" s="74">
        <v>3.792196618</v>
      </c>
      <c r="AL30" s="74">
        <v>19.5734837</v>
      </c>
      <c r="AM30" s="75" t="s">
        <v>89</v>
      </c>
    </row>
    <row r="31" spans="1:39" ht="13.5" customHeight="1" outlineLevel="1">
      <c r="A31" s="57" t="s">
        <v>176</v>
      </c>
      <c r="B31" s="58" t="s">
        <v>177</v>
      </c>
      <c r="C31" s="59" t="s">
        <v>160</v>
      </c>
      <c r="D31" s="60" t="s">
        <v>161</v>
      </c>
      <c r="E31" s="60">
        <v>450287</v>
      </c>
      <c r="F31" s="58" t="s">
        <v>162</v>
      </c>
      <c r="G31" s="61" t="s">
        <v>162</v>
      </c>
      <c r="H31" s="62">
        <v>330</v>
      </c>
      <c r="I31" s="63">
        <v>115.4686</v>
      </c>
      <c r="J31" s="60" t="s">
        <v>17</v>
      </c>
      <c r="K31" s="61" t="s">
        <v>75</v>
      </c>
      <c r="L31" s="64">
        <v>26645</v>
      </c>
      <c r="M31" s="62"/>
      <c r="N31" s="76"/>
      <c r="O31" s="65">
        <v>0</v>
      </c>
      <c r="P31" s="64">
        <v>0</v>
      </c>
      <c r="Q31" s="66">
        <f>IF(OR(ISERROR(L31*$C$20/$C$16),EXACT(MID(B31,1,4),"WPL:")),0,L31*$C$20/$C$16)</f>
        <v>4</v>
      </c>
      <c r="R31" s="67">
        <f>IF(OR(ISERROR(M31*$C$20/$C$16),EXACT(MID(B31,1,4),"WPL:")),0,M31*$C$20/$C$16)</f>
        <v>4</v>
      </c>
      <c r="S31" s="68">
        <f>IF(OR(ISERROR(N31*$C$20/$C$16),EXACT(MID(B31,1,4),"WPL:")),0,N31*$C$20/$C$16)</f>
        <v>4</v>
      </c>
      <c r="T31" s="62">
        <f>IF(OR(ISERROR(L31*$C$21/N60),EXACT(MID(B31,1,4),"WPL:")),0,L31*$C$21/N60)</f>
        <v>4</v>
      </c>
      <c r="U31" s="62">
        <f>IF(OR(ISERROR(M31*$C$21/N60),EXACT(MID(B31,1,4),"WPL:")),0,M31*$C$21/N60)</f>
        <v>4</v>
      </c>
      <c r="V31" s="69">
        <f>IF(OR(ISERROR(M31*$C$20),EXACT(MID(B31,1,4),"WPL:")),0,N31*$C$21/N60)</f>
        <v>4</v>
      </c>
      <c r="W31" s="70">
        <f>IF(OR(ISERROR(L31*$C$20/$C$16),MID(B31,1,4)&lt;&gt;"WPL:"),0,L31*$C$20/$C$16)</f>
        <v>4</v>
      </c>
      <c r="X31" s="65">
        <f>IF(OR(ISERROR(903.37501095*$C$21/N60),MID(B31,1,4)&lt;&gt;"WPL:"),0,903.37501095*$C$21/N60)</f>
        <v>4</v>
      </c>
      <c r="Y31" s="71">
        <f>IF(OR(ISERROR(30766.60847*$C$20/$C$16),MID(B31,1,4)&lt;&gt;"WPL:"),0,30766.60847*$C$20/$C$16)</f>
        <v>4</v>
      </c>
      <c r="Z31" s="72">
        <f>IF(OR(ISERROR(L31*$C$21/N60),MID(B31,1,4)&lt;&gt;"WPL:"),0,L31*$C$21/N60)</f>
        <v>4</v>
      </c>
      <c r="AA31" s="73">
        <f>IF(OR(ISERROR(903.37501095*$C$21/N60),MID(B31,1,4)&lt;&gt;"WPL:"),0,903.37501095*$C$21/N60)</f>
        <v>4</v>
      </c>
      <c r="AB31" s="71">
        <f>IF(OR(ISERROR(30766.60847*$C$20),MID(B31,1,4)&lt;&gt;"WPL:"),0,30766.60847*$C$21/N60)</f>
        <v>4</v>
      </c>
      <c r="AC31" s="69"/>
      <c r="AD31" s="74" t="s">
        <v>174</v>
      </c>
      <c r="AE31" s="74" t="s">
        <v>175</v>
      </c>
      <c r="AF31" s="74">
        <v>4.109589041</v>
      </c>
      <c r="AG31" s="74">
        <v>3.75</v>
      </c>
      <c r="AH31" s="74"/>
      <c r="AI31" s="74">
        <v>-0.0150784</v>
      </c>
      <c r="AJ31" s="74">
        <v>3.791624814</v>
      </c>
      <c r="AK31" s="74">
        <v>3.792196618</v>
      </c>
      <c r="AL31" s="74">
        <v>19.5734837</v>
      </c>
      <c r="AM31" s="75" t="s">
        <v>89</v>
      </c>
    </row>
    <row r="32" spans="1:39" ht="13.5" customHeight="1" outlineLevel="1">
      <c r="A32" s="57" t="s">
        <v>189</v>
      </c>
      <c r="B32" s="58" t="s">
        <v>190</v>
      </c>
      <c r="C32" s="59" t="s">
        <v>191</v>
      </c>
      <c r="D32" s="60" t="s">
        <v>192</v>
      </c>
      <c r="E32" s="60">
        <v>450287</v>
      </c>
      <c r="F32" s="58" t="s">
        <v>162</v>
      </c>
      <c r="G32" s="61" t="s">
        <v>162</v>
      </c>
      <c r="H32" s="62">
        <v>147</v>
      </c>
      <c r="I32" s="63">
        <v>124.2654</v>
      </c>
      <c r="J32" s="60" t="s">
        <v>17</v>
      </c>
      <c r="K32" s="61" t="s">
        <v>75</v>
      </c>
      <c r="L32" s="64">
        <v>824000</v>
      </c>
      <c r="M32" s="62">
        <v>14103.95</v>
      </c>
      <c r="N32" s="65">
        <v>1038050.85</v>
      </c>
      <c r="O32" s="65">
        <v>4.5</v>
      </c>
      <c r="P32" s="64">
        <v>4.498286571525763</v>
      </c>
      <c r="Q32" s="66">
        <f>IF(OR(ISERROR(L32*$C$20/$C$16),EXACT(MID(B32,1,4),"WPL:")),0,L32*$C$20/$C$16)</f>
        <v>4</v>
      </c>
      <c r="R32" s="67">
        <f>IF(OR(ISERROR(M32*$C$20/$C$16),EXACT(MID(B32,1,4),"WPL:")),0,M32*$C$20/$C$16)</f>
        <v>4</v>
      </c>
      <c r="S32" s="68">
        <f>IF(OR(ISERROR(N32*$C$20/$C$16),EXACT(MID(B32,1,4),"WPL:")),0,N32*$C$20/$C$16)</f>
        <v>4</v>
      </c>
      <c r="T32" s="62">
        <f>IF(OR(ISERROR(L32*$C$21/N60),EXACT(MID(B32,1,4),"WPL:")),0,L32*$C$21/N60)</f>
        <v>4</v>
      </c>
      <c r="U32" s="62">
        <f>IF(OR(ISERROR(M32*$C$21/N60),EXACT(MID(B32,1,4),"WPL:")),0,M32*$C$21/N60)</f>
        <v>4</v>
      </c>
      <c r="V32" s="69">
        <f>IF(OR(ISERROR(M32*$C$20),EXACT(MID(B32,1,4),"WPL:")),0,N32*$C$21/N60)</f>
        <v>4</v>
      </c>
      <c r="W32" s="70">
        <f>IF(OR(ISERROR(L32*$C$20/$C$16),MID(B32,1,4)&lt;&gt;"WPL:"),0,L32*$C$20/$C$16)</f>
        <v>4</v>
      </c>
      <c r="X32" s="65">
        <f>IF(OR(ISERROR(14103.95*$C$21/N60),MID(B32,1,4)&lt;&gt;"WPL:"),0,14103.95*$C$21/N60)</f>
        <v>4</v>
      </c>
      <c r="Y32" s="71">
        <f>IF(OR(ISERROR(1038050.85*$C$20/$C$16),MID(B32,1,4)&lt;&gt;"WPL:"),0,1038050.85*$C$20/$C$16)</f>
        <v>4</v>
      </c>
      <c r="Z32" s="72">
        <f>IF(OR(ISERROR(L32*$C$21/N60),MID(B32,1,4)&lt;&gt;"WPL:"),0,L32*$C$21/N60)</f>
        <v>4</v>
      </c>
      <c r="AA32" s="73">
        <f>IF(OR(ISERROR(14103.95*$C$21/N60),MID(B32,1,4)&lt;&gt;"WPL:"),0,14103.95*$C$21/N60)</f>
        <v>4</v>
      </c>
      <c r="AB32" s="71">
        <f>IF(OR(ISERROR(1038050.85*$C$20),MID(B32,1,4)&lt;&gt;"WPL:"),0,1038050.85*$C$21/N60)</f>
        <v>4</v>
      </c>
      <c r="AC32" s="69"/>
      <c r="AD32" s="74" t="s">
        <v>204</v>
      </c>
      <c r="AE32" s="74" t="s">
        <v>205</v>
      </c>
      <c r="AF32" s="74">
        <v>6.610958904</v>
      </c>
      <c r="AG32" s="74">
        <v>4.25</v>
      </c>
      <c r="AH32" s="74"/>
      <c r="AI32" s="74">
        <v>0.5065024</v>
      </c>
      <c r="AJ32" s="74">
        <v>5.907697047</v>
      </c>
      <c r="AK32" s="74">
        <v>5.877925213</v>
      </c>
      <c r="AL32" s="74">
        <v>43.5009828</v>
      </c>
      <c r="AM32" s="75" t="s">
        <v>89</v>
      </c>
    </row>
    <row r="33" spans="1:39" ht="13.5" customHeight="1" outlineLevel="1">
      <c r="A33" s="57" t="s">
        <v>206</v>
      </c>
      <c r="B33" s="58" t="s">
        <v>207</v>
      </c>
      <c r="C33" s="59" t="s">
        <v>191</v>
      </c>
      <c r="D33" s="60" t="s">
        <v>192</v>
      </c>
      <c r="E33" s="60">
        <v>450287</v>
      </c>
      <c r="F33" s="58" t="s">
        <v>162</v>
      </c>
      <c r="G33" s="61" t="s">
        <v>162</v>
      </c>
      <c r="H33" s="62">
        <v>147</v>
      </c>
      <c r="I33" s="63">
        <v>124.2654</v>
      </c>
      <c r="J33" s="60" t="s">
        <v>17</v>
      </c>
      <c r="K33" s="61" t="s">
        <v>75</v>
      </c>
      <c r="L33" s="64">
        <v>23473</v>
      </c>
      <c r="M33" s="62"/>
      <c r="N33" s="76"/>
      <c r="O33" s="65">
        <v>0</v>
      </c>
      <c r="P33" s="64">
        <v>0</v>
      </c>
      <c r="Q33" s="66">
        <f>IF(OR(ISERROR(L33*$C$20/$C$16),EXACT(MID(B33,1,4),"WPL:")),0,L33*$C$20/$C$16)</f>
        <v>4</v>
      </c>
      <c r="R33" s="67">
        <f>IF(OR(ISERROR(M33*$C$20/$C$16),EXACT(MID(B33,1,4),"WPL:")),0,M33*$C$20/$C$16)</f>
        <v>4</v>
      </c>
      <c r="S33" s="68">
        <f>IF(OR(ISERROR(N33*$C$20/$C$16),EXACT(MID(B33,1,4),"WPL:")),0,N33*$C$20/$C$16)</f>
        <v>4</v>
      </c>
      <c r="T33" s="62">
        <f>IF(OR(ISERROR(L33*$C$21/N60),EXACT(MID(B33,1,4),"WPL:")),0,L33*$C$21/N60)</f>
        <v>4</v>
      </c>
      <c r="U33" s="62">
        <f>IF(OR(ISERROR(M33*$C$21/N60),EXACT(MID(B33,1,4),"WPL:")),0,M33*$C$21/N60)</f>
        <v>4</v>
      </c>
      <c r="V33" s="69">
        <f>IF(OR(ISERROR(M33*$C$20),EXACT(MID(B33,1,4),"WPL:")),0,N33*$C$21/N60)</f>
        <v>4</v>
      </c>
      <c r="W33" s="70">
        <f>IF(OR(ISERROR(L33*$C$20/$C$16),MID(B33,1,4)&lt;&gt;"WPL:"),0,L33*$C$20/$C$16)</f>
        <v>4</v>
      </c>
      <c r="X33" s="65">
        <f>IF(OR(ISERROR(401.774149174*$C$21/N60),MID(B33,1,4)&lt;&gt;"WPL:"),0,401.774149174*$C$21/N60)</f>
        <v>4</v>
      </c>
      <c r="Y33" s="71">
        <f>IF(OR(ISERROR(29168.817342*$C$20/$C$16),MID(B33,1,4)&lt;&gt;"WPL:"),0,29168.817342*$C$20/$C$16)</f>
        <v>4</v>
      </c>
      <c r="Z33" s="72">
        <f>IF(OR(ISERROR(L33*$C$21/N60),MID(B33,1,4)&lt;&gt;"WPL:"),0,L33*$C$21/N60)</f>
        <v>4</v>
      </c>
      <c r="AA33" s="73">
        <f>IF(OR(ISERROR(401.774149174*$C$21/N60),MID(B33,1,4)&lt;&gt;"WPL:"),0,401.774149174*$C$21/N60)</f>
        <v>4</v>
      </c>
      <c r="AB33" s="71">
        <f>IF(OR(ISERROR(29168.817342*$C$20),MID(B33,1,4)&lt;&gt;"WPL:"),0,29168.817342*$C$21/N60)</f>
        <v>4</v>
      </c>
      <c r="AC33" s="69"/>
      <c r="AD33" s="74" t="s">
        <v>204</v>
      </c>
      <c r="AE33" s="74" t="s">
        <v>205</v>
      </c>
      <c r="AF33" s="74">
        <v>6.610958904</v>
      </c>
      <c r="AG33" s="74">
        <v>4.25</v>
      </c>
      <c r="AH33" s="74"/>
      <c r="AI33" s="74">
        <v>0.5065024</v>
      </c>
      <c r="AJ33" s="74">
        <v>5.907697047</v>
      </c>
      <c r="AK33" s="74">
        <v>5.877925213</v>
      </c>
      <c r="AL33" s="74">
        <v>43.5009828</v>
      </c>
      <c r="AM33" s="75" t="s">
        <v>89</v>
      </c>
    </row>
    <row r="34" spans="1:39" ht="13.5" customHeight="1" outlineLevel="1">
      <c r="A34" s="57" t="s">
        <v>219</v>
      </c>
      <c r="B34" s="58" t="s">
        <v>220</v>
      </c>
      <c r="C34" s="59" t="s">
        <v>221</v>
      </c>
      <c r="D34" s="60" t="s">
        <v>222</v>
      </c>
      <c r="E34" s="60">
        <v>450287</v>
      </c>
      <c r="F34" s="58" t="s">
        <v>162</v>
      </c>
      <c r="G34" s="61" t="s">
        <v>162</v>
      </c>
      <c r="H34" s="62">
        <v>330</v>
      </c>
      <c r="I34" s="63">
        <v>111.5608</v>
      </c>
      <c r="J34" s="60" t="s">
        <v>17</v>
      </c>
      <c r="K34" s="61" t="s">
        <v>75</v>
      </c>
      <c r="L34" s="64">
        <v>724000</v>
      </c>
      <c r="M34" s="62">
        <v>22910.14</v>
      </c>
      <c r="N34" s="65">
        <v>830610.33</v>
      </c>
      <c r="O34" s="65">
        <v>3.6</v>
      </c>
      <c r="P34" s="64">
        <v>3.5993644180432804</v>
      </c>
      <c r="Q34" s="66">
        <f>IF(OR(ISERROR(L34*$C$20/$C$16),EXACT(MID(B34,1,4),"WPL:")),0,L34*$C$20/$C$16)</f>
        <v>4</v>
      </c>
      <c r="R34" s="67">
        <f>IF(OR(ISERROR(M34*$C$20/$C$16),EXACT(MID(B34,1,4),"WPL:")),0,M34*$C$20/$C$16)</f>
        <v>4</v>
      </c>
      <c r="S34" s="68">
        <f>IF(OR(ISERROR(N34*$C$20/$C$16),EXACT(MID(B34,1,4),"WPL:")),0,N34*$C$20/$C$16)</f>
        <v>4</v>
      </c>
      <c r="T34" s="62">
        <f>IF(OR(ISERROR(L34*$C$21/N60),EXACT(MID(B34,1,4),"WPL:")),0,L34*$C$21/N60)</f>
        <v>4</v>
      </c>
      <c r="U34" s="62">
        <f>IF(OR(ISERROR(M34*$C$21/N60),EXACT(MID(B34,1,4),"WPL:")),0,M34*$C$21/N60)</f>
        <v>4</v>
      </c>
      <c r="V34" s="69">
        <f>IF(OR(ISERROR(M34*$C$20),EXACT(MID(B34,1,4),"WPL:")),0,N34*$C$21/N60)</f>
        <v>4</v>
      </c>
      <c r="W34" s="70">
        <f>IF(OR(ISERROR(L34*$C$20/$C$16),MID(B34,1,4)&lt;&gt;"WPL:"),0,L34*$C$20/$C$16)</f>
        <v>4</v>
      </c>
      <c r="X34" s="65">
        <f>IF(OR(ISERROR(22910.14*$C$21/N60),MID(B34,1,4)&lt;&gt;"WPL:"),0,22910.14*$C$21/N60)</f>
        <v>4</v>
      </c>
      <c r="Y34" s="71">
        <f>IF(OR(ISERROR(830610.33*$C$20/$C$16),MID(B34,1,4)&lt;&gt;"WPL:"),0,830610.33*$C$20/$C$16)</f>
        <v>4</v>
      </c>
      <c r="Z34" s="72">
        <f>IF(OR(ISERROR(L34*$C$21/N60),MID(B34,1,4)&lt;&gt;"WPL:"),0,L34*$C$21/N60)</f>
        <v>4</v>
      </c>
      <c r="AA34" s="73">
        <f>IF(OR(ISERROR(22910.14*$C$21/N60),MID(B34,1,4)&lt;&gt;"WPL:"),0,22910.14*$C$21/N60)</f>
        <v>4</v>
      </c>
      <c r="AB34" s="71">
        <f>IF(OR(ISERROR(830610.33*$C$20),MID(B34,1,4)&lt;&gt;"WPL:"),0,830610.33*$C$21/N60)</f>
        <v>4</v>
      </c>
      <c r="AC34" s="69"/>
      <c r="AD34" s="74" t="s">
        <v>234</v>
      </c>
      <c r="AE34" s="74" t="s">
        <v>235</v>
      </c>
      <c r="AF34" s="74">
        <v>3.109589041</v>
      </c>
      <c r="AG34" s="74">
        <v>3.5</v>
      </c>
      <c r="AH34" s="74"/>
      <c r="AI34" s="74">
        <v>-0.2052455</v>
      </c>
      <c r="AJ34" s="74">
        <v>2.923999812</v>
      </c>
      <c r="AK34" s="74">
        <v>2.930013534</v>
      </c>
      <c r="AL34" s="74">
        <v>12.2505963</v>
      </c>
      <c r="AM34" s="75" t="s">
        <v>89</v>
      </c>
    </row>
    <row r="35" spans="1:39" ht="13.5" customHeight="1" outlineLevel="1">
      <c r="A35" s="57" t="s">
        <v>236</v>
      </c>
      <c r="B35" s="58" t="s">
        <v>237</v>
      </c>
      <c r="C35" s="59" t="s">
        <v>238</v>
      </c>
      <c r="D35" s="60" t="s">
        <v>239</v>
      </c>
      <c r="E35" s="60">
        <v>450287</v>
      </c>
      <c r="F35" s="58" t="s">
        <v>162</v>
      </c>
      <c r="G35" s="61" t="s">
        <v>162</v>
      </c>
      <c r="H35" s="62">
        <v>147</v>
      </c>
      <c r="I35" s="63">
        <v>114.511</v>
      </c>
      <c r="J35" s="60" t="s">
        <v>17</v>
      </c>
      <c r="K35" s="61" t="s">
        <v>75</v>
      </c>
      <c r="L35" s="64">
        <v>761000</v>
      </c>
      <c r="M35" s="62">
        <v>9960.76</v>
      </c>
      <c r="N35" s="65">
        <v>881389.47</v>
      </c>
      <c r="O35" s="65">
        <v>3.8</v>
      </c>
      <c r="P35" s="64">
        <v>3.81941059745311</v>
      </c>
      <c r="Q35" s="66">
        <f>IF(OR(ISERROR(L35*$C$20/$C$16),EXACT(MID(B35,1,4),"WPL:")),0,L35*$C$20/$C$16)</f>
        <v>4</v>
      </c>
      <c r="R35" s="67">
        <f>IF(OR(ISERROR(M35*$C$20/$C$16),EXACT(MID(B35,1,4),"WPL:")),0,M35*$C$20/$C$16)</f>
        <v>4</v>
      </c>
      <c r="S35" s="68">
        <f>IF(OR(ISERROR(N35*$C$20/$C$16),EXACT(MID(B35,1,4),"WPL:")),0,N35*$C$20/$C$16)</f>
        <v>4</v>
      </c>
      <c r="T35" s="62">
        <f>IF(OR(ISERROR(L35*$C$21/N60),EXACT(MID(B35,1,4),"WPL:")),0,L35*$C$21/N60)</f>
        <v>4</v>
      </c>
      <c r="U35" s="62">
        <f>IF(OR(ISERROR(M35*$C$21/N60),EXACT(MID(B35,1,4),"WPL:")),0,M35*$C$21/N60)</f>
        <v>4</v>
      </c>
      <c r="V35" s="69">
        <f>IF(OR(ISERROR(M35*$C$20),EXACT(MID(B35,1,4),"WPL:")),0,N35*$C$21/N60)</f>
        <v>4</v>
      </c>
      <c r="W35" s="70">
        <f>IF(OR(ISERROR(L35*$C$20/$C$16),MID(B35,1,4)&lt;&gt;"WPL:"),0,L35*$C$20/$C$16)</f>
        <v>4</v>
      </c>
      <c r="X35" s="65">
        <f>IF(OR(ISERROR(9960.76*$C$21/N60),MID(B35,1,4)&lt;&gt;"WPL:"),0,9960.76*$C$21/N60)</f>
        <v>4</v>
      </c>
      <c r="Y35" s="71">
        <f>IF(OR(ISERROR(881389.47*$C$20/$C$16),MID(B35,1,4)&lt;&gt;"WPL:"),0,881389.47*$C$20/$C$16)</f>
        <v>4</v>
      </c>
      <c r="Z35" s="72">
        <f>IF(OR(ISERROR(L35*$C$21/N60),MID(B35,1,4)&lt;&gt;"WPL:"),0,L35*$C$21/N60)</f>
        <v>4</v>
      </c>
      <c r="AA35" s="73">
        <f>IF(OR(ISERROR(9960.76*$C$21/N60),MID(B35,1,4)&lt;&gt;"WPL:"),0,9960.76*$C$21/N60)</f>
        <v>4</v>
      </c>
      <c r="AB35" s="71">
        <f>IF(OR(ISERROR(881389.47*$C$20),MID(B35,1,4)&lt;&gt;"WPL:"),0,881389.47*$C$21/N60)</f>
        <v>4</v>
      </c>
      <c r="AC35" s="69"/>
      <c r="AD35" s="74" t="s">
        <v>251</v>
      </c>
      <c r="AE35" s="74" t="s">
        <v>252</v>
      </c>
      <c r="AF35" s="74">
        <v>4.610958904</v>
      </c>
      <c r="AG35" s="74">
        <v>3.25</v>
      </c>
      <c r="AH35" s="74"/>
      <c r="AI35" s="74">
        <v>0.0927814</v>
      </c>
      <c r="AJ35" s="74">
        <v>4.328129115</v>
      </c>
      <c r="AK35" s="74">
        <v>4.324117141</v>
      </c>
      <c r="AL35" s="74">
        <v>24.0436974</v>
      </c>
      <c r="AM35" s="75" t="s">
        <v>89</v>
      </c>
    </row>
    <row r="36" spans="1:39" ht="13.5" customHeight="1" outlineLevel="1">
      <c r="A36" s="57" t="s">
        <v>253</v>
      </c>
      <c r="B36" s="58" t="s">
        <v>254</v>
      </c>
      <c r="C36" s="59" t="s">
        <v>255</v>
      </c>
      <c r="D36" s="60" t="s">
        <v>256</v>
      </c>
      <c r="E36" s="60">
        <v>450287</v>
      </c>
      <c r="F36" s="58" t="s">
        <v>162</v>
      </c>
      <c r="G36" s="61" t="s">
        <v>162</v>
      </c>
      <c r="H36" s="62">
        <v>330</v>
      </c>
      <c r="I36" s="63">
        <v>114.147</v>
      </c>
      <c r="J36" s="60" t="s">
        <v>17</v>
      </c>
      <c r="K36" s="61" t="s">
        <v>75</v>
      </c>
      <c r="L36" s="64">
        <v>815000</v>
      </c>
      <c r="M36" s="62">
        <v>22105.48</v>
      </c>
      <c r="N36" s="65">
        <v>952403.53</v>
      </c>
      <c r="O36" s="65">
        <v>4.1</v>
      </c>
      <c r="P36" s="64">
        <v>4.127142721064902</v>
      </c>
      <c r="Q36" s="66">
        <f>IF(OR(ISERROR(L36*$C$20/$C$16),EXACT(MID(B36,1,4),"WPL:")),0,L36*$C$20/$C$16)</f>
        <v>4</v>
      </c>
      <c r="R36" s="67">
        <f>IF(OR(ISERROR(M36*$C$20/$C$16),EXACT(MID(B36,1,4),"WPL:")),0,M36*$C$20/$C$16)</f>
        <v>4</v>
      </c>
      <c r="S36" s="68">
        <f>IF(OR(ISERROR(N36*$C$20/$C$16),EXACT(MID(B36,1,4),"WPL:")),0,N36*$C$20/$C$16)</f>
        <v>4</v>
      </c>
      <c r="T36" s="62">
        <f>IF(OR(ISERROR(L36*$C$21/N60),EXACT(MID(B36,1,4),"WPL:")),0,L36*$C$21/N60)</f>
        <v>4</v>
      </c>
      <c r="U36" s="62">
        <f>IF(OR(ISERROR(M36*$C$21/N60),EXACT(MID(B36,1,4),"WPL:")),0,M36*$C$21/N60)</f>
        <v>4</v>
      </c>
      <c r="V36" s="69">
        <f>IF(OR(ISERROR(M36*$C$20),EXACT(MID(B36,1,4),"WPL:")),0,N36*$C$21/N60)</f>
        <v>4</v>
      </c>
      <c r="W36" s="70">
        <f>IF(OR(ISERROR(L36*$C$20/$C$16),MID(B36,1,4)&lt;&gt;"WPL:"),0,L36*$C$20/$C$16)</f>
        <v>4</v>
      </c>
      <c r="X36" s="65">
        <f>IF(OR(ISERROR(22105.48*$C$21/N60),MID(B36,1,4)&lt;&gt;"WPL:"),0,22105.48*$C$21/N60)</f>
        <v>4</v>
      </c>
      <c r="Y36" s="71">
        <f>IF(OR(ISERROR(952403.53*$C$20/$C$16),MID(B36,1,4)&lt;&gt;"WPL:"),0,952403.53*$C$20/$C$16)</f>
        <v>4</v>
      </c>
      <c r="Z36" s="72">
        <f>IF(OR(ISERROR(L36*$C$21/N60),MID(B36,1,4)&lt;&gt;"WPL:"),0,L36*$C$21/N60)</f>
        <v>4</v>
      </c>
      <c r="AA36" s="73">
        <f>IF(OR(ISERROR(22105.48*$C$21/N60),MID(B36,1,4)&lt;&gt;"WPL:"),0,22105.48*$C$21/N60)</f>
        <v>4</v>
      </c>
      <c r="AB36" s="71">
        <f>IF(OR(ISERROR(952403.53*$C$20),MID(B36,1,4)&lt;&gt;"WPL:"),0,952403.53*$C$21/N60)</f>
        <v>4</v>
      </c>
      <c r="AC36" s="69"/>
      <c r="AD36" s="74" t="s">
        <v>268</v>
      </c>
      <c r="AE36" s="74" t="s">
        <v>269</v>
      </c>
      <c r="AF36" s="74">
        <v>5.109589041</v>
      </c>
      <c r="AG36" s="74">
        <v>3</v>
      </c>
      <c r="AH36" s="74"/>
      <c r="AI36" s="74">
        <v>0.2117808</v>
      </c>
      <c r="AJ36" s="74">
        <v>4.723202603</v>
      </c>
      <c r="AK36" s="74">
        <v>4.713220906</v>
      </c>
      <c r="AL36" s="74">
        <v>28.8365304</v>
      </c>
      <c r="AM36" s="75" t="s">
        <v>89</v>
      </c>
    </row>
    <row r="37" spans="1:39" ht="13.5" customHeight="1" outlineLevel="1">
      <c r="A37" s="57" t="s">
        <v>270</v>
      </c>
      <c r="B37" s="58" t="s">
        <v>271</v>
      </c>
      <c r="C37" s="59" t="s">
        <v>255</v>
      </c>
      <c r="D37" s="60" t="s">
        <v>256</v>
      </c>
      <c r="E37" s="60">
        <v>450287</v>
      </c>
      <c r="F37" s="58" t="s">
        <v>162</v>
      </c>
      <c r="G37" s="61" t="s">
        <v>162</v>
      </c>
      <c r="H37" s="62">
        <v>330</v>
      </c>
      <c r="I37" s="63">
        <v>114.147</v>
      </c>
      <c r="J37" s="60" t="s">
        <v>17</v>
      </c>
      <c r="K37" s="61" t="s">
        <v>75</v>
      </c>
      <c r="L37" s="64">
        <v>25373</v>
      </c>
      <c r="M37" s="62"/>
      <c r="N37" s="76"/>
      <c r="O37" s="65">
        <v>0</v>
      </c>
      <c r="P37" s="64">
        <v>0</v>
      </c>
      <c r="Q37" s="66">
        <f>IF(OR(ISERROR(L37*$C$20/$C$16),EXACT(MID(B37,1,4),"WPL:")),0,L37*$C$20/$C$16)</f>
        <v>4</v>
      </c>
      <c r="R37" s="67">
        <f>IF(OR(ISERROR(M37*$C$20/$C$16),EXACT(MID(B37,1,4),"WPL:")),0,M37*$C$20/$C$16)</f>
        <v>4</v>
      </c>
      <c r="S37" s="68">
        <f>IF(OR(ISERROR(N37*$C$20/$C$16),EXACT(MID(B37,1,4),"WPL:")),0,N37*$C$20/$C$16)</f>
        <v>4</v>
      </c>
      <c r="T37" s="62">
        <f>IF(OR(ISERROR(L37*$C$21/N60),EXACT(MID(B37,1,4),"WPL:")),0,L37*$C$21/N60)</f>
        <v>4</v>
      </c>
      <c r="U37" s="62">
        <f>IF(OR(ISERROR(M37*$C$21/N60),EXACT(MID(B37,1,4),"WPL:")),0,M37*$C$21/N60)</f>
        <v>4</v>
      </c>
      <c r="V37" s="69">
        <f>IF(OR(ISERROR(M37*$C$20),EXACT(MID(B37,1,4),"WPL:")),0,N37*$C$21/N60)</f>
        <v>4</v>
      </c>
      <c r="W37" s="70">
        <f>IF(OR(ISERROR(L37*$C$20/$C$16),MID(B37,1,4)&lt;&gt;"WPL:"),0,L37*$C$20/$C$16)</f>
        <v>4</v>
      </c>
      <c r="X37" s="65">
        <f>IF(OR(ISERROR(688.199186424*$C$21/N60),MID(B37,1,4)&lt;&gt;"WPL:"),0,688.199186424*$C$21/N60)</f>
        <v>4</v>
      </c>
      <c r="Y37" s="71">
        <f>IF(OR(ISERROR(28962.51831*$C$20/$C$16),MID(B37,1,4)&lt;&gt;"WPL:"),0,28962.51831*$C$20/$C$16)</f>
        <v>4</v>
      </c>
      <c r="Z37" s="72">
        <f>IF(OR(ISERROR(L37*$C$21/N60),MID(B37,1,4)&lt;&gt;"WPL:"),0,L37*$C$21/N60)</f>
        <v>4</v>
      </c>
      <c r="AA37" s="73">
        <f>IF(OR(ISERROR(688.199186424*$C$21/N60),MID(B37,1,4)&lt;&gt;"WPL:"),0,688.199186424*$C$21/N60)</f>
        <v>4</v>
      </c>
      <c r="AB37" s="71">
        <f>IF(OR(ISERROR(28962.51831*$C$20),MID(B37,1,4)&lt;&gt;"WPL:"),0,28962.51831*$C$21/N60)</f>
        <v>4</v>
      </c>
      <c r="AC37" s="69"/>
      <c r="AD37" s="74" t="s">
        <v>268</v>
      </c>
      <c r="AE37" s="74" t="s">
        <v>269</v>
      </c>
      <c r="AF37" s="74">
        <v>5.109589041</v>
      </c>
      <c r="AG37" s="74">
        <v>3</v>
      </c>
      <c r="AH37" s="74"/>
      <c r="AI37" s="74">
        <v>0.2117808</v>
      </c>
      <c r="AJ37" s="74">
        <v>4.723202603</v>
      </c>
      <c r="AK37" s="74">
        <v>4.713220906</v>
      </c>
      <c r="AL37" s="74">
        <v>28.8365304</v>
      </c>
      <c r="AM37" s="75" t="s">
        <v>89</v>
      </c>
    </row>
    <row r="38" spans="1:39" ht="13.5" customHeight="1" outlineLevel="1">
      <c r="A38" s="57" t="s">
        <v>283</v>
      </c>
      <c r="B38" s="58" t="s">
        <v>284</v>
      </c>
      <c r="C38" s="59" t="s">
        <v>285</v>
      </c>
      <c r="D38" s="60" t="s">
        <v>286</v>
      </c>
      <c r="E38" s="60">
        <v>464541</v>
      </c>
      <c r="F38" s="58" t="s">
        <v>287</v>
      </c>
      <c r="G38" s="61" t="s">
        <v>287</v>
      </c>
      <c r="H38" s="62">
        <v>337</v>
      </c>
      <c r="I38" s="63">
        <v>114.364</v>
      </c>
      <c r="J38" s="60" t="s">
        <v>17</v>
      </c>
      <c r="K38" s="61" t="s">
        <v>75</v>
      </c>
      <c r="L38" s="64">
        <v>889000</v>
      </c>
      <c r="M38" s="62">
        <v>36936.12</v>
      </c>
      <c r="N38" s="65">
        <v>1053632.08</v>
      </c>
      <c r="O38" s="65">
        <v>4.6</v>
      </c>
      <c r="P38" s="64">
        <v>4.565806228849731</v>
      </c>
      <c r="Q38" s="66">
        <f>IF(OR(ISERROR(L38*$C$20/$C$16),EXACT(MID(B38,1,4),"WPL:")),0,L38*$C$20/$C$16)</f>
        <v>4</v>
      </c>
      <c r="R38" s="67">
        <f>IF(OR(ISERROR(M38*$C$20/$C$16),EXACT(MID(B38,1,4),"WPL:")),0,M38*$C$20/$C$16)</f>
        <v>4</v>
      </c>
      <c r="S38" s="68">
        <f>IF(OR(ISERROR(N38*$C$20/$C$16),EXACT(MID(B38,1,4),"WPL:")),0,N38*$C$20/$C$16)</f>
        <v>4</v>
      </c>
      <c r="T38" s="62">
        <f>IF(OR(ISERROR(L38*$C$21/N60),EXACT(MID(B38,1,4),"WPL:")),0,L38*$C$21/N60)</f>
        <v>4</v>
      </c>
      <c r="U38" s="62">
        <f>IF(OR(ISERROR(M38*$C$21/N60),EXACT(MID(B38,1,4),"WPL:")),0,M38*$C$21/N60)</f>
        <v>4</v>
      </c>
      <c r="V38" s="69">
        <f>IF(OR(ISERROR(M38*$C$20),EXACT(MID(B38,1,4),"WPL:")),0,N38*$C$21/N60)</f>
        <v>4</v>
      </c>
      <c r="W38" s="70">
        <f>IF(OR(ISERROR(L38*$C$20/$C$16),MID(B38,1,4)&lt;&gt;"WPL:"),0,L38*$C$20/$C$16)</f>
        <v>4</v>
      </c>
      <c r="X38" s="65">
        <f>IF(OR(ISERROR(36936.12*$C$21/N60),MID(B38,1,4)&lt;&gt;"WPL:"),0,36936.12*$C$21/N60)</f>
        <v>4</v>
      </c>
      <c r="Y38" s="71">
        <f>IF(OR(ISERROR(1053632.08*$C$20/$C$16),MID(B38,1,4)&lt;&gt;"WPL:"),0,1053632.08*$C$20/$C$16)</f>
        <v>4</v>
      </c>
      <c r="Z38" s="72">
        <f>IF(OR(ISERROR(L38*$C$21/N60),MID(B38,1,4)&lt;&gt;"WPL:"),0,L38*$C$21/N60)</f>
        <v>4</v>
      </c>
      <c r="AA38" s="73">
        <f>IF(OR(ISERROR(36936.12*$C$21/N60),MID(B38,1,4)&lt;&gt;"WPL:"),0,36936.12*$C$21/N60)</f>
        <v>4</v>
      </c>
      <c r="AB38" s="71">
        <f>IF(OR(ISERROR(1053632.08*$C$20),MID(B38,1,4)&lt;&gt;"WPL:"),0,1053632.08*$C$21/N60)</f>
        <v>4</v>
      </c>
      <c r="AC38" s="69"/>
      <c r="AD38" s="74" t="s">
        <v>299</v>
      </c>
      <c r="AE38" s="74" t="s">
        <v>300</v>
      </c>
      <c r="AF38" s="74">
        <v>3.090410959</v>
      </c>
      <c r="AG38" s="74">
        <v>4.5</v>
      </c>
      <c r="AH38" s="74"/>
      <c r="AI38" s="74">
        <v>-0.1387533</v>
      </c>
      <c r="AJ38" s="74">
        <v>2.860072897</v>
      </c>
      <c r="AK38" s="74">
        <v>2.864046856</v>
      </c>
      <c r="AL38" s="74">
        <v>11.9672187</v>
      </c>
      <c r="AM38" s="75" t="s">
        <v>89</v>
      </c>
    </row>
    <row r="39" spans="1:39" ht="13.5" customHeight="1" outlineLevel="1">
      <c r="A39" s="57" t="s">
        <v>301</v>
      </c>
      <c r="B39" s="58" t="s">
        <v>302</v>
      </c>
      <c r="C39" s="59" t="s">
        <v>303</v>
      </c>
      <c r="D39" s="60" t="s">
        <v>304</v>
      </c>
      <c r="E39" s="60">
        <v>464541</v>
      </c>
      <c r="F39" s="58" t="s">
        <v>287</v>
      </c>
      <c r="G39" s="61" t="s">
        <v>287</v>
      </c>
      <c r="H39" s="62">
        <v>154</v>
      </c>
      <c r="I39" s="63">
        <v>107.654</v>
      </c>
      <c r="J39" s="60" t="s">
        <v>17</v>
      </c>
      <c r="K39" s="61" t="s">
        <v>75</v>
      </c>
      <c r="L39" s="64">
        <v>710000</v>
      </c>
      <c r="M39" s="62">
        <v>13480.27</v>
      </c>
      <c r="N39" s="65">
        <v>777823.67</v>
      </c>
      <c r="O39" s="65">
        <v>3.4</v>
      </c>
      <c r="P39" s="64">
        <v>3.3706188572321736</v>
      </c>
      <c r="Q39" s="66">
        <f>IF(OR(ISERROR(L39*$C$20/$C$16),EXACT(MID(B39,1,4),"WPL:")),0,L39*$C$20/$C$16)</f>
        <v>4</v>
      </c>
      <c r="R39" s="67">
        <f>IF(OR(ISERROR(M39*$C$20/$C$16),EXACT(MID(B39,1,4),"WPL:")),0,M39*$C$20/$C$16)</f>
        <v>4</v>
      </c>
      <c r="S39" s="68">
        <f>IF(OR(ISERROR(N39*$C$20/$C$16),EXACT(MID(B39,1,4),"WPL:")),0,N39*$C$20/$C$16)</f>
        <v>4</v>
      </c>
      <c r="T39" s="62">
        <f>IF(OR(ISERROR(L39*$C$21/N60),EXACT(MID(B39,1,4),"WPL:")),0,L39*$C$21/N60)</f>
        <v>4</v>
      </c>
      <c r="U39" s="62">
        <f>IF(OR(ISERROR(M39*$C$21/N60),EXACT(MID(B39,1,4),"WPL:")),0,M39*$C$21/N60)</f>
        <v>4</v>
      </c>
      <c r="V39" s="69">
        <f>IF(OR(ISERROR(M39*$C$20),EXACT(MID(B39,1,4),"WPL:")),0,N39*$C$21/N60)</f>
        <v>4</v>
      </c>
      <c r="W39" s="70">
        <f>IF(OR(ISERROR(L39*$C$20/$C$16),MID(B39,1,4)&lt;&gt;"WPL:"),0,L39*$C$20/$C$16)</f>
        <v>4</v>
      </c>
      <c r="X39" s="65">
        <f>IF(OR(ISERROR(13480.27*$C$21/N60),MID(B39,1,4)&lt;&gt;"WPL:"),0,13480.27*$C$21/N60)</f>
        <v>4</v>
      </c>
      <c r="Y39" s="71">
        <f>IF(OR(ISERROR(777823.67*$C$20/$C$16),MID(B39,1,4)&lt;&gt;"WPL:"),0,777823.67*$C$20/$C$16)</f>
        <v>4</v>
      </c>
      <c r="Z39" s="72">
        <f>IF(OR(ISERROR(L39*$C$21/N60),MID(B39,1,4)&lt;&gt;"WPL:"),0,L39*$C$21/N60)</f>
        <v>4</v>
      </c>
      <c r="AA39" s="73">
        <f>IF(OR(ISERROR(13480.27*$C$21/N60),MID(B39,1,4)&lt;&gt;"WPL:"),0,13480.27*$C$21/N60)</f>
        <v>4</v>
      </c>
      <c r="AB39" s="71">
        <f>IF(OR(ISERROR(777823.67*$C$20),MID(B39,1,4)&lt;&gt;"WPL:"),0,777823.67*$C$21/N60)</f>
        <v>4</v>
      </c>
      <c r="AC39" s="69"/>
      <c r="AD39" s="74" t="s">
        <v>316</v>
      </c>
      <c r="AE39" s="74" t="s">
        <v>317</v>
      </c>
      <c r="AF39" s="74">
        <v>1.589041096</v>
      </c>
      <c r="AG39" s="74">
        <v>4.5</v>
      </c>
      <c r="AH39" s="74"/>
      <c r="AI39" s="74">
        <v>-0.297199</v>
      </c>
      <c r="AJ39" s="74">
        <v>1.54787234</v>
      </c>
      <c r="AK39" s="74">
        <v>1.552486314</v>
      </c>
      <c r="AL39" s="74">
        <v>4.0760471</v>
      </c>
      <c r="AM39" s="75" t="s">
        <v>89</v>
      </c>
    </row>
    <row r="40" spans="1:39" ht="13.5" customHeight="1" outlineLevel="1">
      <c r="A40" s="57" t="s">
        <v>318</v>
      </c>
      <c r="B40" s="58" t="s">
        <v>319</v>
      </c>
      <c r="C40" s="59" t="s">
        <v>320</v>
      </c>
      <c r="D40" s="60" t="s">
        <v>321</v>
      </c>
      <c r="E40" s="60">
        <v>464541</v>
      </c>
      <c r="F40" s="58" t="s">
        <v>287</v>
      </c>
      <c r="G40" s="61" t="s">
        <v>287</v>
      </c>
      <c r="H40" s="62">
        <v>8</v>
      </c>
      <c r="I40" s="63">
        <v>134.5945</v>
      </c>
      <c r="J40" s="60" t="s">
        <v>17</v>
      </c>
      <c r="K40" s="61" t="s">
        <v>75</v>
      </c>
      <c r="L40" s="64">
        <v>899000</v>
      </c>
      <c r="M40" s="62">
        <v>1064.02</v>
      </c>
      <c r="N40" s="65">
        <v>1211068.58</v>
      </c>
      <c r="O40" s="65">
        <v>5.2</v>
      </c>
      <c r="P40" s="64">
        <v>5.248041105703804</v>
      </c>
      <c r="Q40" s="66">
        <f>IF(OR(ISERROR(L40*$C$20/$C$16),EXACT(MID(B40,1,4),"WPL:")),0,L40*$C$20/$C$16)</f>
        <v>4</v>
      </c>
      <c r="R40" s="67">
        <f>IF(OR(ISERROR(M40*$C$20/$C$16),EXACT(MID(B40,1,4),"WPL:")),0,M40*$C$20/$C$16)</f>
        <v>4</v>
      </c>
      <c r="S40" s="68">
        <f>IF(OR(ISERROR(N40*$C$20/$C$16),EXACT(MID(B40,1,4),"WPL:")),0,N40*$C$20/$C$16)</f>
        <v>4</v>
      </c>
      <c r="T40" s="62">
        <f>IF(OR(ISERROR(L40*$C$21/N60),EXACT(MID(B40,1,4),"WPL:")),0,L40*$C$21/N60)</f>
        <v>4</v>
      </c>
      <c r="U40" s="62">
        <f>IF(OR(ISERROR(M40*$C$21/N60),EXACT(MID(B40,1,4),"WPL:")),0,M40*$C$21/N60)</f>
        <v>4</v>
      </c>
      <c r="V40" s="69">
        <f>IF(OR(ISERROR(M40*$C$20),EXACT(MID(B40,1,4),"WPL:")),0,N40*$C$21/N60)</f>
        <v>4</v>
      </c>
      <c r="W40" s="70">
        <f>IF(OR(ISERROR(L40*$C$20/$C$16),MID(B40,1,4)&lt;&gt;"WPL:"),0,L40*$C$20/$C$16)</f>
        <v>4</v>
      </c>
      <c r="X40" s="65">
        <f>IF(OR(ISERROR(1064.02*$C$21/N60),MID(B40,1,4)&lt;&gt;"WPL:"),0,1064.02*$C$21/N60)</f>
        <v>4</v>
      </c>
      <c r="Y40" s="71">
        <f>IF(OR(ISERROR(1211068.58*$C$20/$C$16),MID(B40,1,4)&lt;&gt;"WPL:"),0,1211068.58*$C$20/$C$16)</f>
        <v>4</v>
      </c>
      <c r="Z40" s="72">
        <f>IF(OR(ISERROR(L40*$C$21/N60),MID(B40,1,4)&lt;&gt;"WPL:"),0,L40*$C$21/N60)</f>
        <v>4</v>
      </c>
      <c r="AA40" s="73">
        <f>IF(OR(ISERROR(1064.02*$C$21/N60),MID(B40,1,4)&lt;&gt;"WPL:"),0,1064.02*$C$21/N60)</f>
        <v>4</v>
      </c>
      <c r="AB40" s="71">
        <f>IF(OR(ISERROR(1211068.58*$C$20),MID(B40,1,4)&lt;&gt;"WPL:"),0,1211068.58*$C$21/N60)</f>
        <v>4</v>
      </c>
      <c r="AC40" s="69"/>
      <c r="AD40" s="74" t="s">
        <v>333</v>
      </c>
      <c r="AE40" s="74" t="s">
        <v>334</v>
      </c>
      <c r="AF40" s="74">
        <v>7.994520548</v>
      </c>
      <c r="AG40" s="74">
        <v>5.4</v>
      </c>
      <c r="AH40" s="74"/>
      <c r="AI40" s="74">
        <v>0.8939361</v>
      </c>
      <c r="AJ40" s="74">
        <v>6.895485207</v>
      </c>
      <c r="AK40" s="74">
        <v>6.834390127</v>
      </c>
      <c r="AL40" s="74">
        <v>57.7339036</v>
      </c>
      <c r="AM40" s="75" t="s">
        <v>89</v>
      </c>
    </row>
    <row r="41" spans="1:39" ht="13.5" customHeight="1" outlineLevel="1">
      <c r="A41" s="57" t="s">
        <v>335</v>
      </c>
      <c r="B41" s="58" t="s">
        <v>336</v>
      </c>
      <c r="C41" s="59" t="s">
        <v>337</v>
      </c>
      <c r="D41" s="60" t="s">
        <v>338</v>
      </c>
      <c r="E41" s="60">
        <v>464541</v>
      </c>
      <c r="F41" s="58" t="s">
        <v>287</v>
      </c>
      <c r="G41" s="61" t="s">
        <v>287</v>
      </c>
      <c r="H41" s="62">
        <v>154</v>
      </c>
      <c r="I41" s="63">
        <v>118.3976</v>
      </c>
      <c r="J41" s="60" t="s">
        <v>17</v>
      </c>
      <c r="K41" s="61" t="s">
        <v>75</v>
      </c>
      <c r="L41" s="64">
        <v>638000</v>
      </c>
      <c r="M41" s="62">
        <v>13459.18</v>
      </c>
      <c r="N41" s="65">
        <v>768835.87</v>
      </c>
      <c r="O41" s="65">
        <v>3.3</v>
      </c>
      <c r="P41" s="64">
        <v>3.331671150530176</v>
      </c>
      <c r="Q41" s="66">
        <f>IF(OR(ISERROR(L41*$C$20/$C$16),EXACT(MID(B41,1,4),"WPL:")),0,L41*$C$20/$C$16)</f>
        <v>4</v>
      </c>
      <c r="R41" s="67">
        <f>IF(OR(ISERROR(M41*$C$20/$C$16),EXACT(MID(B41,1,4),"WPL:")),0,M41*$C$20/$C$16)</f>
        <v>4</v>
      </c>
      <c r="S41" s="68">
        <f>IF(OR(ISERROR(N41*$C$20/$C$16),EXACT(MID(B41,1,4),"WPL:")),0,N41*$C$20/$C$16)</f>
        <v>4</v>
      </c>
      <c r="T41" s="62">
        <f>IF(OR(ISERROR(L41*$C$21/N60),EXACT(MID(B41,1,4),"WPL:")),0,L41*$C$21/N60)</f>
        <v>4</v>
      </c>
      <c r="U41" s="62">
        <f>IF(OR(ISERROR(M41*$C$21/N60),EXACT(MID(B41,1,4),"WPL:")),0,M41*$C$21/N60)</f>
        <v>4</v>
      </c>
      <c r="V41" s="69">
        <f>IF(OR(ISERROR(M41*$C$20),EXACT(MID(B41,1,4),"WPL:")),0,N41*$C$21/N60)</f>
        <v>4</v>
      </c>
      <c r="W41" s="70">
        <f>IF(OR(ISERROR(L41*$C$20/$C$16),MID(B41,1,4)&lt;&gt;"WPL:"),0,L41*$C$20/$C$16)</f>
        <v>4</v>
      </c>
      <c r="X41" s="65">
        <f>IF(OR(ISERROR(13459.18*$C$21/N60),MID(B41,1,4)&lt;&gt;"WPL:"),0,13459.18*$C$21/N60)</f>
        <v>4</v>
      </c>
      <c r="Y41" s="71">
        <f>IF(OR(ISERROR(768835.87*$C$20/$C$16),MID(B41,1,4)&lt;&gt;"WPL:"),0,768835.87*$C$20/$C$16)</f>
        <v>4</v>
      </c>
      <c r="Z41" s="72">
        <f>IF(OR(ISERROR(L41*$C$21/N60),MID(B41,1,4)&lt;&gt;"WPL:"),0,L41*$C$21/N60)</f>
        <v>4</v>
      </c>
      <c r="AA41" s="73">
        <f>IF(OR(ISERROR(13459.18*$C$21/N60),MID(B41,1,4)&lt;&gt;"WPL:"),0,13459.18*$C$21/N60)</f>
        <v>4</v>
      </c>
      <c r="AB41" s="71">
        <f>IF(OR(ISERROR(768835.87*$C$20),MID(B41,1,4)&lt;&gt;"WPL:"),0,768835.87*$C$21/N60)</f>
        <v>4</v>
      </c>
      <c r="AC41" s="69"/>
      <c r="AD41" s="74" t="s">
        <v>350</v>
      </c>
      <c r="AE41" s="74" t="s">
        <v>351</v>
      </c>
      <c r="AF41" s="74">
        <v>3.591780822</v>
      </c>
      <c r="AG41" s="74">
        <v>5</v>
      </c>
      <c r="AH41" s="74"/>
      <c r="AI41" s="74">
        <v>-0.1126114</v>
      </c>
      <c r="AJ41" s="74">
        <v>3.339865998</v>
      </c>
      <c r="AK41" s="74">
        <v>3.343631307</v>
      </c>
      <c r="AL41" s="74">
        <v>15.3093857</v>
      </c>
      <c r="AM41" s="75" t="s">
        <v>89</v>
      </c>
    </row>
    <row r="42" spans="1:39" ht="13.5" customHeight="1" outlineLevel="1">
      <c r="A42" s="57" t="s">
        <v>352</v>
      </c>
      <c r="B42" s="58" t="s">
        <v>353</v>
      </c>
      <c r="C42" s="59" t="s">
        <v>354</v>
      </c>
      <c r="D42" s="60" t="s">
        <v>355</v>
      </c>
      <c r="E42" s="60">
        <v>464541</v>
      </c>
      <c r="F42" s="58" t="s">
        <v>287</v>
      </c>
      <c r="G42" s="61" t="s">
        <v>287</v>
      </c>
      <c r="H42" s="62">
        <v>368</v>
      </c>
      <c r="I42" s="63">
        <v>118.6852</v>
      </c>
      <c r="J42" s="60" t="s">
        <v>17</v>
      </c>
      <c r="K42" s="61" t="s">
        <v>75</v>
      </c>
      <c r="L42" s="64">
        <v>633000</v>
      </c>
      <c r="M42" s="62">
        <v>21698.89</v>
      </c>
      <c r="N42" s="65">
        <v>772976.21</v>
      </c>
      <c r="O42" s="65">
        <v>3.3</v>
      </c>
      <c r="P42" s="64">
        <v>3.349612887992797</v>
      </c>
      <c r="Q42" s="66">
        <f>IF(OR(ISERROR(L42*$C$20/$C$16),EXACT(MID(B42,1,4),"WPL:")),0,L42*$C$20/$C$16)</f>
        <v>4</v>
      </c>
      <c r="R42" s="67">
        <f>IF(OR(ISERROR(M42*$C$20/$C$16),EXACT(MID(B42,1,4),"WPL:")),0,M42*$C$20/$C$16)</f>
        <v>4</v>
      </c>
      <c r="S42" s="68">
        <f>IF(OR(ISERROR(N42*$C$20/$C$16),EXACT(MID(B42,1,4),"WPL:")),0,N42*$C$20/$C$16)</f>
        <v>4</v>
      </c>
      <c r="T42" s="62">
        <f>IF(OR(ISERROR(L42*$C$21/N60),EXACT(MID(B42,1,4),"WPL:")),0,L42*$C$21/N60)</f>
        <v>4</v>
      </c>
      <c r="U42" s="62">
        <f>IF(OR(ISERROR(M42*$C$21/N60),EXACT(MID(B42,1,4),"WPL:")),0,M42*$C$21/N60)</f>
        <v>4</v>
      </c>
      <c r="V42" s="69">
        <f>IF(OR(ISERROR(M42*$C$20),EXACT(MID(B42,1,4),"WPL:")),0,N42*$C$21/N60)</f>
        <v>4</v>
      </c>
      <c r="W42" s="70">
        <f>IF(OR(ISERROR(L42*$C$20/$C$16),MID(B42,1,4)&lt;&gt;"WPL:"),0,L42*$C$20/$C$16)</f>
        <v>4</v>
      </c>
      <c r="X42" s="65">
        <f>IF(OR(ISERROR(21698.89*$C$21/N60),MID(B42,1,4)&lt;&gt;"WPL:"),0,21698.89*$C$21/N60)</f>
        <v>4</v>
      </c>
      <c r="Y42" s="71">
        <f>IF(OR(ISERROR(772976.21*$C$20/$C$16),MID(B42,1,4)&lt;&gt;"WPL:"),0,772976.21*$C$20/$C$16)</f>
        <v>4</v>
      </c>
      <c r="Z42" s="72">
        <f>IF(OR(ISERROR(L42*$C$21/N60),MID(B42,1,4)&lt;&gt;"WPL:"),0,L42*$C$21/N60)</f>
        <v>4</v>
      </c>
      <c r="AA42" s="73">
        <f>IF(OR(ISERROR(21698.89*$C$21/N60),MID(B42,1,4)&lt;&gt;"WPL:"),0,21698.89*$C$21/N60)</f>
        <v>4</v>
      </c>
      <c r="AB42" s="71">
        <f>IF(OR(ISERROR(772976.21*$C$20),MID(B42,1,4)&lt;&gt;"WPL:"),0,772976.21*$C$21/N60)</f>
        <v>4</v>
      </c>
      <c r="AC42" s="69"/>
      <c r="AD42" s="74" t="s">
        <v>139</v>
      </c>
      <c r="AE42" s="74" t="s">
        <v>367</v>
      </c>
      <c r="AF42" s="74">
        <v>7.008219178</v>
      </c>
      <c r="AG42" s="74">
        <v>3.4</v>
      </c>
      <c r="AH42" s="74"/>
      <c r="AI42" s="74">
        <v>0.660653</v>
      </c>
      <c r="AJ42" s="74">
        <v>6.233649014</v>
      </c>
      <c r="AK42" s="74">
        <v>6.192736512</v>
      </c>
      <c r="AL42" s="74">
        <v>49.0949869</v>
      </c>
      <c r="AM42" s="75" t="s">
        <v>89</v>
      </c>
    </row>
    <row r="43" spans="1:39" ht="13.5" customHeight="1" outlineLevel="1">
      <c r="A43" s="57" t="s">
        <v>368</v>
      </c>
      <c r="B43" s="58" t="s">
        <v>369</v>
      </c>
      <c r="C43" s="59" t="s">
        <v>370</v>
      </c>
      <c r="D43" s="60" t="s">
        <v>371</v>
      </c>
      <c r="E43" s="60">
        <v>465688</v>
      </c>
      <c r="F43" s="58" t="s">
        <v>372</v>
      </c>
      <c r="G43" s="61" t="s">
        <v>373</v>
      </c>
      <c r="H43" s="62">
        <v>48</v>
      </c>
      <c r="I43" s="63">
        <v>111.98</v>
      </c>
      <c r="J43" s="60" t="s">
        <v>17</v>
      </c>
      <c r="K43" s="61" t="s">
        <v>75</v>
      </c>
      <c r="L43" s="64">
        <v>889000</v>
      </c>
      <c r="M43" s="62">
        <v>4420.46</v>
      </c>
      <c r="N43" s="65">
        <v>999922.66</v>
      </c>
      <c r="O43" s="65">
        <v>4.3</v>
      </c>
      <c r="P43" s="64">
        <v>4.333061982505309</v>
      </c>
      <c r="Q43" s="66">
        <f>IF(OR(ISERROR(L43*$C$20/$C$16),EXACT(MID(B43,1,4),"WPL:")),0,L43*$C$20/$C$16)</f>
        <v>4</v>
      </c>
      <c r="R43" s="67">
        <f>IF(OR(ISERROR(M43*$C$20/$C$16),EXACT(MID(B43,1,4),"WPL:")),0,M43*$C$20/$C$16)</f>
        <v>4</v>
      </c>
      <c r="S43" s="68">
        <f>IF(OR(ISERROR(N43*$C$20/$C$16),EXACT(MID(B43,1,4),"WPL:")),0,N43*$C$20/$C$16)</f>
        <v>4</v>
      </c>
      <c r="T43" s="62">
        <f>IF(OR(ISERROR(L43*$C$21/N60),EXACT(MID(B43,1,4),"WPL:")),0,L43*$C$21/N60)</f>
        <v>4</v>
      </c>
      <c r="U43" s="62">
        <f>IF(OR(ISERROR(M43*$C$21/N60),EXACT(MID(B43,1,4),"WPL:")),0,M43*$C$21/N60)</f>
        <v>4</v>
      </c>
      <c r="V43" s="69">
        <f>IF(OR(ISERROR(M43*$C$20),EXACT(MID(B43,1,4),"WPL:")),0,N43*$C$21/N60)</f>
        <v>4</v>
      </c>
      <c r="W43" s="70">
        <f>IF(OR(ISERROR(L43*$C$20/$C$16),MID(B43,1,4)&lt;&gt;"WPL:"),0,L43*$C$20/$C$16)</f>
        <v>4</v>
      </c>
      <c r="X43" s="65">
        <f>IF(OR(ISERROR(4420.46*$C$21/N60),MID(B43,1,4)&lt;&gt;"WPL:"),0,4420.46*$C$21/N60)</f>
        <v>4</v>
      </c>
      <c r="Y43" s="71">
        <f>IF(OR(ISERROR(999922.66*$C$20/$C$16),MID(B43,1,4)&lt;&gt;"WPL:"),0,999922.66*$C$20/$C$16)</f>
        <v>4</v>
      </c>
      <c r="Z43" s="72">
        <f>IF(OR(ISERROR(L43*$C$21/N60),MID(B43,1,4)&lt;&gt;"WPL:"),0,L43*$C$21/N60)</f>
        <v>4</v>
      </c>
      <c r="AA43" s="73">
        <f>IF(OR(ISERROR(4420.46*$C$21/N60),MID(B43,1,4)&lt;&gt;"WPL:"),0,4420.46*$C$21/N60)</f>
        <v>4</v>
      </c>
      <c r="AB43" s="71">
        <f>IF(OR(ISERROR(999922.66*$C$20),MID(B43,1,4)&lt;&gt;"WPL:"),0,999922.66*$C$21/N60)</f>
        <v>4</v>
      </c>
      <c r="AC43" s="69"/>
      <c r="AD43" s="74" t="s">
        <v>385</v>
      </c>
      <c r="AE43" s="74" t="s">
        <v>386</v>
      </c>
      <c r="AF43" s="74">
        <v>4.378082192</v>
      </c>
      <c r="AG43" s="74">
        <v>3.75</v>
      </c>
      <c r="AH43" s="74"/>
      <c r="AI43" s="74">
        <v>0.5420384</v>
      </c>
      <c r="AJ43" s="74">
        <v>4.071871525</v>
      </c>
      <c r="AK43" s="74">
        <v>4.060865798</v>
      </c>
      <c r="AL43" s="74">
        <v>21.7109575</v>
      </c>
      <c r="AM43" s="75" t="s">
        <v>89</v>
      </c>
    </row>
    <row r="44" spans="1:39" ht="13.5" customHeight="1" outlineLevel="1">
      <c r="A44" s="57" t="s">
        <v>387</v>
      </c>
      <c r="B44" s="58" t="s">
        <v>388</v>
      </c>
      <c r="C44" s="59" t="s">
        <v>389</v>
      </c>
      <c r="D44" s="60" t="s">
        <v>390</v>
      </c>
      <c r="E44" s="60">
        <v>465688</v>
      </c>
      <c r="F44" s="58" t="s">
        <v>372</v>
      </c>
      <c r="G44" s="61" t="s">
        <v>373</v>
      </c>
      <c r="H44" s="62">
        <v>48</v>
      </c>
      <c r="I44" s="63">
        <v>106.2456</v>
      </c>
      <c r="J44" s="60" t="s">
        <v>17</v>
      </c>
      <c r="K44" s="61" t="s">
        <v>75</v>
      </c>
      <c r="L44" s="64">
        <v>797000</v>
      </c>
      <c r="M44" s="62">
        <v>4755.62</v>
      </c>
      <c r="N44" s="65">
        <v>851533.05</v>
      </c>
      <c r="O44" s="65">
        <v>3.7</v>
      </c>
      <c r="P44" s="64">
        <v>3.6900308727894937</v>
      </c>
      <c r="Q44" s="66">
        <f>IF(OR(ISERROR(L44*$C$20/$C$16),EXACT(MID(B44,1,4),"WPL:")),0,L44*$C$20/$C$16)</f>
        <v>4</v>
      </c>
      <c r="R44" s="67">
        <f>IF(OR(ISERROR(M44*$C$20/$C$16),EXACT(MID(B44,1,4),"WPL:")),0,M44*$C$20/$C$16)</f>
        <v>4</v>
      </c>
      <c r="S44" s="68">
        <f>IF(OR(ISERROR(N44*$C$20/$C$16),EXACT(MID(B44,1,4),"WPL:")),0,N44*$C$20/$C$16)</f>
        <v>4</v>
      </c>
      <c r="T44" s="62">
        <f>IF(OR(ISERROR(L44*$C$21/N60),EXACT(MID(B44,1,4),"WPL:")),0,L44*$C$21/N60)</f>
        <v>4</v>
      </c>
      <c r="U44" s="62">
        <f>IF(OR(ISERROR(M44*$C$21/N60),EXACT(MID(B44,1,4),"WPL:")),0,M44*$C$21/N60)</f>
        <v>4</v>
      </c>
      <c r="V44" s="69">
        <f>IF(OR(ISERROR(M44*$C$20),EXACT(MID(B44,1,4),"WPL:")),0,N44*$C$21/N60)</f>
        <v>4</v>
      </c>
      <c r="W44" s="70">
        <f>IF(OR(ISERROR(L44*$C$20/$C$16),MID(B44,1,4)&lt;&gt;"WPL:"),0,L44*$C$20/$C$16)</f>
        <v>4</v>
      </c>
      <c r="X44" s="65">
        <f>IF(OR(ISERROR(4755.62*$C$21/N60),MID(B44,1,4)&lt;&gt;"WPL:"),0,4755.62*$C$21/N60)</f>
        <v>4</v>
      </c>
      <c r="Y44" s="71">
        <f>IF(OR(ISERROR(851533.05*$C$20/$C$16),MID(B44,1,4)&lt;&gt;"WPL:"),0,851533.05*$C$20/$C$16)</f>
        <v>4</v>
      </c>
      <c r="Z44" s="72">
        <f>IF(OR(ISERROR(L44*$C$21/N60),MID(B44,1,4)&lt;&gt;"WPL:"),0,L44*$C$21/N60)</f>
        <v>4</v>
      </c>
      <c r="AA44" s="73">
        <f>IF(OR(ISERROR(4755.62*$C$21/N60),MID(B44,1,4)&lt;&gt;"WPL:"),0,4755.62*$C$21/N60)</f>
        <v>4</v>
      </c>
      <c r="AB44" s="71">
        <f>IF(OR(ISERROR(851533.05*$C$20),MID(B44,1,4)&lt;&gt;"WPL:"),0,851533.05*$C$21/N60)</f>
        <v>4</v>
      </c>
      <c r="AC44" s="69"/>
      <c r="AD44" s="74" t="s">
        <v>402</v>
      </c>
      <c r="AE44" s="74" t="s">
        <v>403</v>
      </c>
      <c r="AF44" s="74">
        <v>1.375342466</v>
      </c>
      <c r="AG44" s="74">
        <v>4.5</v>
      </c>
      <c r="AH44" s="74"/>
      <c r="AI44" s="74">
        <v>-1.5779516</v>
      </c>
      <c r="AJ44" s="74">
        <v>1.354986272</v>
      </c>
      <c r="AK44" s="74">
        <v>1.365761802</v>
      </c>
      <c r="AL44" s="74">
        <v>3.3655373</v>
      </c>
      <c r="AM44" s="75" t="s">
        <v>89</v>
      </c>
    </row>
    <row r="45" spans="1:39" ht="13.5" customHeight="1" outlineLevel="1">
      <c r="A45" s="57" t="s">
        <v>404</v>
      </c>
      <c r="B45" s="58" t="s">
        <v>405</v>
      </c>
      <c r="C45" s="59" t="s">
        <v>406</v>
      </c>
      <c r="D45" s="60" t="s">
        <v>407</v>
      </c>
      <c r="E45" s="60">
        <v>465688</v>
      </c>
      <c r="F45" s="58" t="s">
        <v>372</v>
      </c>
      <c r="G45" s="61" t="s">
        <v>373</v>
      </c>
      <c r="H45" s="62">
        <v>20</v>
      </c>
      <c r="I45" s="63">
        <v>109.4008</v>
      </c>
      <c r="J45" s="60" t="s">
        <v>17</v>
      </c>
      <c r="K45" s="61" t="s">
        <v>75</v>
      </c>
      <c r="L45" s="64">
        <v>790000</v>
      </c>
      <c r="M45" s="62">
        <v>1824.74</v>
      </c>
      <c r="N45" s="65">
        <v>866091.06</v>
      </c>
      <c r="O45" s="65">
        <v>3.8</v>
      </c>
      <c r="P45" s="64">
        <v>3.7531165115047243</v>
      </c>
      <c r="Q45" s="66">
        <f>IF(OR(ISERROR(L45*$C$20/$C$16),EXACT(MID(B45,1,4),"WPL:")),0,L45*$C$20/$C$16)</f>
        <v>4</v>
      </c>
      <c r="R45" s="67">
        <f>IF(OR(ISERROR(M45*$C$20/$C$16),EXACT(MID(B45,1,4),"WPL:")),0,M45*$C$20/$C$16)</f>
        <v>4</v>
      </c>
      <c r="S45" s="68">
        <f>IF(OR(ISERROR(N45*$C$20/$C$16),EXACT(MID(B45,1,4),"WPL:")),0,N45*$C$20/$C$16)</f>
        <v>4</v>
      </c>
      <c r="T45" s="62">
        <f>IF(OR(ISERROR(L45*$C$21/N60),EXACT(MID(B45,1,4),"WPL:")),0,L45*$C$21/N60)</f>
        <v>4</v>
      </c>
      <c r="U45" s="62">
        <f>IF(OR(ISERROR(M45*$C$21/N60),EXACT(MID(B45,1,4),"WPL:")),0,M45*$C$21/N60)</f>
        <v>4</v>
      </c>
      <c r="V45" s="69">
        <f>IF(OR(ISERROR(M45*$C$20),EXACT(MID(B45,1,4),"WPL:")),0,N45*$C$21/N60)</f>
        <v>4</v>
      </c>
      <c r="W45" s="70">
        <f>IF(OR(ISERROR(L45*$C$20/$C$16),MID(B45,1,4)&lt;&gt;"WPL:"),0,L45*$C$20/$C$16)</f>
        <v>4</v>
      </c>
      <c r="X45" s="65">
        <f>IF(OR(ISERROR(1824.74*$C$21/N60),MID(B45,1,4)&lt;&gt;"WPL:"),0,1824.74*$C$21/N60)</f>
        <v>4</v>
      </c>
      <c r="Y45" s="71">
        <f>IF(OR(ISERROR(866091.06*$C$20/$C$16),MID(B45,1,4)&lt;&gt;"WPL:"),0,866091.06*$C$20/$C$16)</f>
        <v>4</v>
      </c>
      <c r="Z45" s="72">
        <f>IF(OR(ISERROR(L45*$C$21/N60),MID(B45,1,4)&lt;&gt;"WPL:"),0,L45*$C$21/N60)</f>
        <v>4</v>
      </c>
      <c r="AA45" s="73">
        <f>IF(OR(ISERROR(1824.74*$C$21/N60),MID(B45,1,4)&lt;&gt;"WPL:"),0,1824.74*$C$21/N60)</f>
        <v>4</v>
      </c>
      <c r="AB45" s="71">
        <f>IF(OR(ISERROR(866091.06*$C$20),MID(B45,1,4)&lt;&gt;"WPL:"),0,866091.06*$C$21/N60)</f>
        <v>4</v>
      </c>
      <c r="AC45" s="69"/>
      <c r="AD45" s="74" t="s">
        <v>419</v>
      </c>
      <c r="AE45" s="74" t="s">
        <v>420</v>
      </c>
      <c r="AF45" s="74">
        <v>2.460273973</v>
      </c>
      <c r="AG45" s="74">
        <v>4.25</v>
      </c>
      <c r="AH45" s="74"/>
      <c r="AI45" s="74">
        <v>-0.4061599</v>
      </c>
      <c r="AJ45" s="74">
        <v>2.369436771</v>
      </c>
      <c r="AK45" s="74">
        <v>2.374258414</v>
      </c>
      <c r="AL45" s="74">
        <v>8.327448</v>
      </c>
      <c r="AM45" s="75" t="s">
        <v>89</v>
      </c>
    </row>
    <row r="46" spans="1:39" ht="13.5" customHeight="1" outlineLevel="1">
      <c r="A46" s="57" t="s">
        <v>421</v>
      </c>
      <c r="B46" s="58" t="s">
        <v>422</v>
      </c>
      <c r="C46" s="59" t="s">
        <v>406</v>
      </c>
      <c r="D46" s="60" t="s">
        <v>407</v>
      </c>
      <c r="E46" s="60">
        <v>465688</v>
      </c>
      <c r="F46" s="58" t="s">
        <v>372</v>
      </c>
      <c r="G46" s="61" t="s">
        <v>373</v>
      </c>
      <c r="H46" s="62">
        <v>20</v>
      </c>
      <c r="I46" s="63">
        <v>109.4008</v>
      </c>
      <c r="J46" s="60" t="s">
        <v>17</v>
      </c>
      <c r="K46" s="61" t="s">
        <v>75</v>
      </c>
      <c r="L46" s="64">
        <v>632000</v>
      </c>
      <c r="M46" s="62"/>
      <c r="N46" s="76"/>
      <c r="O46" s="65">
        <v>0</v>
      </c>
      <c r="P46" s="64">
        <v>0</v>
      </c>
      <c r="Q46" s="66">
        <f>IF(OR(ISERROR(L46*$C$20/$C$16),EXACT(MID(B46,1,4),"WPL:")),0,L46*$C$20/$C$16)</f>
        <v>4</v>
      </c>
      <c r="R46" s="67">
        <f>IF(OR(ISERROR(M46*$C$20/$C$16),EXACT(MID(B46,1,4),"WPL:")),0,M46*$C$20/$C$16)</f>
        <v>4</v>
      </c>
      <c r="S46" s="68">
        <f>IF(OR(ISERROR(N46*$C$20/$C$16),EXACT(MID(B46,1,4),"WPL:")),0,N46*$C$20/$C$16)</f>
        <v>4</v>
      </c>
      <c r="T46" s="62">
        <f>IF(OR(ISERROR(L46*$C$21/N60),EXACT(MID(B46,1,4),"WPL:")),0,L46*$C$21/N60)</f>
        <v>4</v>
      </c>
      <c r="U46" s="62">
        <f>IF(OR(ISERROR(M46*$C$21/N60),EXACT(MID(B46,1,4),"WPL:")),0,M46*$C$21/N60)</f>
        <v>4</v>
      </c>
      <c r="V46" s="69">
        <f>IF(OR(ISERROR(M46*$C$20),EXACT(MID(B46,1,4),"WPL:")),0,N46*$C$21/N60)</f>
        <v>4</v>
      </c>
      <c r="W46" s="70">
        <f>IF(OR(ISERROR(L46*$C$20/$C$16),MID(B46,1,4)&lt;&gt;"WPL:"),0,L46*$C$20/$C$16)</f>
        <v>4</v>
      </c>
      <c r="X46" s="65">
        <f>IF(OR(ISERROR(1459.7936*$C$21/N60),MID(B46,1,4)&lt;&gt;"WPL:"),0,1459.7936*$C$21/N60)</f>
        <v>4</v>
      </c>
      <c r="Y46" s="71">
        <f>IF(OR(ISERROR(691413.056*$C$20/$C$16),MID(B46,1,4)&lt;&gt;"WPL:"),0,691413.056*$C$20/$C$16)</f>
        <v>4</v>
      </c>
      <c r="Z46" s="72">
        <f>IF(OR(ISERROR(L46*$C$21/N60),MID(B46,1,4)&lt;&gt;"WPL:"),0,L46*$C$21/N60)</f>
        <v>4</v>
      </c>
      <c r="AA46" s="73">
        <f>IF(OR(ISERROR(1459.7936*$C$21/N60),MID(B46,1,4)&lt;&gt;"WPL:"),0,1459.7936*$C$21/N60)</f>
        <v>4</v>
      </c>
      <c r="AB46" s="71">
        <f>IF(OR(ISERROR(691413.056*$C$20),MID(B46,1,4)&lt;&gt;"WPL:"),0,691413.056*$C$21/N60)</f>
        <v>4</v>
      </c>
      <c r="AC46" s="69"/>
      <c r="AD46" s="74" t="s">
        <v>419</v>
      </c>
      <c r="AE46" s="74" t="s">
        <v>420</v>
      </c>
      <c r="AF46" s="74">
        <v>2.460273973</v>
      </c>
      <c r="AG46" s="74">
        <v>4.25</v>
      </c>
      <c r="AH46" s="74"/>
      <c r="AI46" s="74">
        <v>-0.4061599</v>
      </c>
      <c r="AJ46" s="74">
        <v>2.369436771</v>
      </c>
      <c r="AK46" s="74">
        <v>2.374258414</v>
      </c>
      <c r="AL46" s="74">
        <v>8.327448</v>
      </c>
      <c r="AM46" s="75" t="s">
        <v>89</v>
      </c>
    </row>
    <row r="47" spans="1:39" ht="13.5" customHeight="1" outlineLevel="1">
      <c r="A47" s="57" t="s">
        <v>434</v>
      </c>
      <c r="B47" s="58" t="s">
        <v>435</v>
      </c>
      <c r="C47" s="59" t="s">
        <v>436</v>
      </c>
      <c r="D47" s="60" t="s">
        <v>437</v>
      </c>
      <c r="E47" s="60">
        <v>465688</v>
      </c>
      <c r="F47" s="58" t="s">
        <v>372</v>
      </c>
      <c r="G47" s="61" t="s">
        <v>373</v>
      </c>
      <c r="H47" s="62">
        <v>20</v>
      </c>
      <c r="I47" s="63">
        <v>111.52</v>
      </c>
      <c r="J47" s="60" t="s">
        <v>17</v>
      </c>
      <c r="K47" s="61" t="s">
        <v>75</v>
      </c>
      <c r="L47" s="64">
        <v>787000</v>
      </c>
      <c r="M47" s="62">
        <v>1710.86</v>
      </c>
      <c r="N47" s="65">
        <v>879373.26</v>
      </c>
      <c r="O47" s="65">
        <v>3.8</v>
      </c>
      <c r="P47" s="64">
        <v>3.8106735588307963</v>
      </c>
      <c r="Q47" s="66">
        <f>IF(OR(ISERROR(L47*$C$20/$C$16),EXACT(MID(B47,1,4),"WPL:")),0,L47*$C$20/$C$16)</f>
        <v>4</v>
      </c>
      <c r="R47" s="67">
        <f>IF(OR(ISERROR(M47*$C$20/$C$16),EXACT(MID(B47,1,4),"WPL:")),0,M47*$C$20/$C$16)</f>
        <v>4</v>
      </c>
      <c r="S47" s="68">
        <f>IF(OR(ISERROR(N47*$C$20/$C$16),EXACT(MID(B47,1,4),"WPL:")),0,N47*$C$20/$C$16)</f>
        <v>4</v>
      </c>
      <c r="T47" s="62">
        <f>IF(OR(ISERROR(L47*$C$21/N60),EXACT(MID(B47,1,4),"WPL:")),0,L47*$C$21/N60)</f>
        <v>4</v>
      </c>
      <c r="U47" s="62">
        <f>IF(OR(ISERROR(M47*$C$21/N60),EXACT(MID(B47,1,4),"WPL:")),0,M47*$C$21/N60)</f>
        <v>4</v>
      </c>
      <c r="V47" s="69">
        <f>IF(OR(ISERROR(M47*$C$20),EXACT(MID(B47,1,4),"WPL:")),0,N47*$C$21/N60)</f>
        <v>4</v>
      </c>
      <c r="W47" s="70">
        <f>IF(OR(ISERROR(L47*$C$20/$C$16),MID(B47,1,4)&lt;&gt;"WPL:"),0,L47*$C$20/$C$16)</f>
        <v>4</v>
      </c>
      <c r="X47" s="65">
        <f>IF(OR(ISERROR(1710.86*$C$21/N60),MID(B47,1,4)&lt;&gt;"WPL:"),0,1710.86*$C$21/N60)</f>
        <v>4</v>
      </c>
      <c r="Y47" s="71">
        <f>IF(OR(ISERROR(879373.26*$C$20/$C$16),MID(B47,1,4)&lt;&gt;"WPL:"),0,879373.26*$C$20/$C$16)</f>
        <v>4</v>
      </c>
      <c r="Z47" s="72">
        <f>IF(OR(ISERROR(L47*$C$21/N60),MID(B47,1,4)&lt;&gt;"WPL:"),0,L47*$C$21/N60)</f>
        <v>4</v>
      </c>
      <c r="AA47" s="73">
        <f>IF(OR(ISERROR(1710.86*$C$21/N60),MID(B47,1,4)&lt;&gt;"WPL:"),0,1710.86*$C$21/N60)</f>
        <v>4</v>
      </c>
      <c r="AB47" s="71">
        <f>IF(OR(ISERROR(879373.26*$C$20),MID(B47,1,4)&lt;&gt;"WPL:"),0,879373.26*$C$21/N60)</f>
        <v>4</v>
      </c>
      <c r="AC47" s="69"/>
      <c r="AD47" s="74" t="s">
        <v>449</v>
      </c>
      <c r="AE47" s="74" t="s">
        <v>450</v>
      </c>
      <c r="AF47" s="74">
        <v>3.463013699</v>
      </c>
      <c r="AG47" s="74">
        <v>4</v>
      </c>
      <c r="AH47" s="74"/>
      <c r="AI47" s="74">
        <v>0.0861429</v>
      </c>
      <c r="AJ47" s="74">
        <v>3.274167304</v>
      </c>
      <c r="AK47" s="74">
        <v>3.27275768</v>
      </c>
      <c r="AL47" s="74">
        <v>14.6249982</v>
      </c>
      <c r="AM47" s="75" t="s">
        <v>89</v>
      </c>
    </row>
    <row r="48" spans="1:39" ht="13.5" customHeight="1" outlineLevel="1">
      <c r="A48" s="57" t="s">
        <v>451</v>
      </c>
      <c r="B48" s="58" t="s">
        <v>452</v>
      </c>
      <c r="C48" s="59" t="s">
        <v>436</v>
      </c>
      <c r="D48" s="60" t="s">
        <v>437</v>
      </c>
      <c r="E48" s="60">
        <v>465688</v>
      </c>
      <c r="F48" s="58" t="s">
        <v>372</v>
      </c>
      <c r="G48" s="61" t="s">
        <v>373</v>
      </c>
      <c r="H48" s="62">
        <v>20</v>
      </c>
      <c r="I48" s="63">
        <v>111.52</v>
      </c>
      <c r="J48" s="60" t="s">
        <v>17</v>
      </c>
      <c r="K48" s="61" t="s">
        <v>75</v>
      </c>
      <c r="L48" s="64">
        <v>616000</v>
      </c>
      <c r="M48" s="62"/>
      <c r="N48" s="76"/>
      <c r="O48" s="65">
        <v>0</v>
      </c>
      <c r="P48" s="64">
        <v>0</v>
      </c>
      <c r="Q48" s="66">
        <f>IF(OR(ISERROR(L48*$C$20/$C$16),EXACT(MID(B48,1,4),"WPL:")),0,L48*$C$20/$C$16)</f>
        <v>4</v>
      </c>
      <c r="R48" s="67">
        <f>IF(OR(ISERROR(M48*$C$20/$C$16),EXACT(MID(B48,1,4),"WPL:")),0,M48*$C$20/$C$16)</f>
        <v>4</v>
      </c>
      <c r="S48" s="68">
        <f>IF(OR(ISERROR(N48*$C$20/$C$16),EXACT(MID(B48,1,4),"WPL:")),0,N48*$C$20/$C$16)</f>
        <v>4</v>
      </c>
      <c r="T48" s="62">
        <f>IF(OR(ISERROR(L48*$C$21/N60),EXACT(MID(B48,1,4),"WPL:")),0,L48*$C$21/N60)</f>
        <v>4</v>
      </c>
      <c r="U48" s="62">
        <f>IF(OR(ISERROR(M48*$C$21/N60),EXACT(MID(B48,1,4),"WPL:")),0,M48*$C$21/N60)</f>
        <v>4</v>
      </c>
      <c r="V48" s="69">
        <f>IF(OR(ISERROR(M48*$C$20),EXACT(MID(B48,1,4),"WPL:")),0,N48*$C$21/N60)</f>
        <v>4</v>
      </c>
      <c r="W48" s="70">
        <f>IF(OR(ISERROR(L48*$C$20/$C$16),MID(B48,1,4)&lt;&gt;"WPL:"),0,L48*$C$20/$C$16)</f>
        <v>4</v>
      </c>
      <c r="X48" s="65">
        <f>IF(OR(ISERROR(1339.1224*$C$21/N60),MID(B48,1,4)&lt;&gt;"WPL:"),0,1339.1224*$C$21/N60)</f>
        <v>4</v>
      </c>
      <c r="Y48" s="71">
        <f>IF(OR(ISERROR(686963.2*$C$20/$C$16),MID(B48,1,4)&lt;&gt;"WPL:"),0,686963.2*$C$20/$C$16)</f>
        <v>4</v>
      </c>
      <c r="Z48" s="72">
        <f>IF(OR(ISERROR(L48*$C$21/N60),MID(B48,1,4)&lt;&gt;"WPL:"),0,L48*$C$21/N60)</f>
        <v>4</v>
      </c>
      <c r="AA48" s="73">
        <f>IF(OR(ISERROR(1339.1224*$C$21/N60),MID(B48,1,4)&lt;&gt;"WPL:"),0,1339.1224*$C$21/N60)</f>
        <v>4</v>
      </c>
      <c r="AB48" s="71">
        <f>IF(OR(ISERROR(686963.2*$C$20),MID(B48,1,4)&lt;&gt;"WPL:"),0,686963.2*$C$21/N60)</f>
        <v>4</v>
      </c>
      <c r="AC48" s="69"/>
      <c r="AD48" s="74" t="s">
        <v>449</v>
      </c>
      <c r="AE48" s="74" t="s">
        <v>450</v>
      </c>
      <c r="AF48" s="74">
        <v>3.463013699</v>
      </c>
      <c r="AG48" s="74">
        <v>4</v>
      </c>
      <c r="AH48" s="74"/>
      <c r="AI48" s="74">
        <v>0.0861429</v>
      </c>
      <c r="AJ48" s="74">
        <v>3.274167304</v>
      </c>
      <c r="AK48" s="74">
        <v>3.27275768</v>
      </c>
      <c r="AL48" s="74">
        <v>14.6249982</v>
      </c>
      <c r="AM48" s="75" t="s">
        <v>89</v>
      </c>
    </row>
    <row r="49" spans="1:39" ht="13.5" customHeight="1" outlineLevel="1">
      <c r="A49" s="57" t="s">
        <v>464</v>
      </c>
      <c r="B49" s="58" t="s">
        <v>465</v>
      </c>
      <c r="C49" s="59" t="s">
        <v>466</v>
      </c>
      <c r="D49" s="60" t="s">
        <v>467</v>
      </c>
      <c r="E49" s="60">
        <v>465688</v>
      </c>
      <c r="F49" s="58" t="s">
        <v>372</v>
      </c>
      <c r="G49" s="61" t="s">
        <v>373</v>
      </c>
      <c r="H49" s="62">
        <v>20</v>
      </c>
      <c r="I49" s="63">
        <v>116.2564</v>
      </c>
      <c r="J49" s="60" t="s">
        <v>17</v>
      </c>
      <c r="K49" s="61" t="s">
        <v>75</v>
      </c>
      <c r="L49" s="64">
        <v>789000</v>
      </c>
      <c r="M49" s="62">
        <v>2036.8</v>
      </c>
      <c r="N49" s="65">
        <v>919299.8</v>
      </c>
      <c r="O49" s="65">
        <v>4</v>
      </c>
      <c r="P49" s="64">
        <v>3.9836911125753804</v>
      </c>
      <c r="Q49" s="66">
        <f>IF(OR(ISERROR(L49*$C$20/$C$16),EXACT(MID(B49,1,4),"WPL:")),0,L49*$C$20/$C$16)</f>
        <v>4</v>
      </c>
      <c r="R49" s="67">
        <f>IF(OR(ISERROR(M49*$C$20/$C$16),EXACT(MID(B49,1,4),"WPL:")),0,M49*$C$20/$C$16)</f>
        <v>4</v>
      </c>
      <c r="S49" s="68">
        <f>IF(OR(ISERROR(N49*$C$20/$C$16),EXACT(MID(B49,1,4),"WPL:")),0,N49*$C$20/$C$16)</f>
        <v>4</v>
      </c>
      <c r="T49" s="62">
        <f>IF(OR(ISERROR(L49*$C$21/N60),EXACT(MID(B49,1,4),"WPL:")),0,L49*$C$21/N60)</f>
        <v>4</v>
      </c>
      <c r="U49" s="62">
        <f>IF(OR(ISERROR(M49*$C$21/N60),EXACT(MID(B49,1,4),"WPL:")),0,M49*$C$21/N60)</f>
        <v>4</v>
      </c>
      <c r="V49" s="69">
        <f>IF(OR(ISERROR(M49*$C$20),EXACT(MID(B49,1,4),"WPL:")),0,N49*$C$21/N60)</f>
        <v>4</v>
      </c>
      <c r="W49" s="70">
        <f>IF(OR(ISERROR(L49*$C$20/$C$16),MID(B49,1,4)&lt;&gt;"WPL:"),0,L49*$C$20/$C$16)</f>
        <v>4</v>
      </c>
      <c r="X49" s="65">
        <f>IF(OR(ISERROR(2036.8*$C$21/N60),MID(B49,1,4)&lt;&gt;"WPL:"),0,2036.8*$C$21/N60)</f>
        <v>4</v>
      </c>
      <c r="Y49" s="71">
        <f>IF(OR(ISERROR(919299.8*$C$20/$C$16),MID(B49,1,4)&lt;&gt;"WPL:"),0,919299.8*$C$20/$C$16)</f>
        <v>4</v>
      </c>
      <c r="Z49" s="72">
        <f>IF(OR(ISERROR(L49*$C$21/N60),MID(B49,1,4)&lt;&gt;"WPL:"),0,L49*$C$21/N60)</f>
        <v>4</v>
      </c>
      <c r="AA49" s="73">
        <f>IF(OR(ISERROR(2036.8*$C$21/N60),MID(B49,1,4)&lt;&gt;"WPL:"),0,2036.8*$C$21/N60)</f>
        <v>4</v>
      </c>
      <c r="AB49" s="71">
        <f>IF(OR(ISERROR(919299.8*$C$20),MID(B49,1,4)&lt;&gt;"WPL:"),0,919299.8*$C$21/N60)</f>
        <v>4</v>
      </c>
      <c r="AC49" s="69"/>
      <c r="AD49" s="74" t="s">
        <v>479</v>
      </c>
      <c r="AE49" s="74" t="s">
        <v>480</v>
      </c>
      <c r="AF49" s="74">
        <v>4.463013699</v>
      </c>
      <c r="AG49" s="74">
        <v>4.75</v>
      </c>
      <c r="AH49" s="74"/>
      <c r="AI49" s="74">
        <v>0.5195352</v>
      </c>
      <c r="AJ49" s="74">
        <v>4.092608929</v>
      </c>
      <c r="AK49" s="74">
        <v>4.082005203</v>
      </c>
      <c r="AL49" s="74">
        <v>22.0767685</v>
      </c>
      <c r="AM49" s="75" t="s">
        <v>89</v>
      </c>
    </row>
    <row r="50" spans="1:39" ht="13.5" customHeight="1" outlineLevel="1">
      <c r="A50" s="57" t="s">
        <v>481</v>
      </c>
      <c r="B50" s="58" t="s">
        <v>482</v>
      </c>
      <c r="C50" s="59" t="s">
        <v>483</v>
      </c>
      <c r="D50" s="60" t="s">
        <v>484</v>
      </c>
      <c r="E50" s="60">
        <v>452875</v>
      </c>
      <c r="F50" s="58" t="s">
        <v>485</v>
      </c>
      <c r="G50" s="61" t="s">
        <v>486</v>
      </c>
      <c r="H50" s="62">
        <v>254</v>
      </c>
      <c r="I50" s="63">
        <v>112.4796</v>
      </c>
      <c r="J50" s="60" t="s">
        <v>17</v>
      </c>
      <c r="K50" s="61" t="s">
        <v>75</v>
      </c>
      <c r="L50" s="64">
        <v>413000</v>
      </c>
      <c r="M50" s="62">
        <v>6107.31</v>
      </c>
      <c r="N50" s="65">
        <v>470648.06</v>
      </c>
      <c r="O50" s="65">
        <v>2</v>
      </c>
      <c r="P50" s="64">
        <v>2.0395049512388064</v>
      </c>
      <c r="Q50" s="66">
        <f>IF(OR(ISERROR(L50*$C$20/$C$16),EXACT(MID(B50,1,4),"WPL:")),0,L50*$C$20/$C$16)</f>
        <v>4</v>
      </c>
      <c r="R50" s="67">
        <f>IF(OR(ISERROR(M50*$C$20/$C$16),EXACT(MID(B50,1,4),"WPL:")),0,M50*$C$20/$C$16)</f>
        <v>4</v>
      </c>
      <c r="S50" s="68">
        <f>IF(OR(ISERROR(N50*$C$20/$C$16),EXACT(MID(B50,1,4),"WPL:")),0,N50*$C$20/$C$16)</f>
        <v>4</v>
      </c>
      <c r="T50" s="62">
        <f>IF(OR(ISERROR(L50*$C$21/N60),EXACT(MID(B50,1,4),"WPL:")),0,L50*$C$21/N60)</f>
        <v>4</v>
      </c>
      <c r="U50" s="62">
        <f>IF(OR(ISERROR(M50*$C$21/N60),EXACT(MID(B50,1,4),"WPL:")),0,M50*$C$21/N60)</f>
        <v>4</v>
      </c>
      <c r="V50" s="69">
        <f>IF(OR(ISERROR(M50*$C$20),EXACT(MID(B50,1,4),"WPL:")),0,N50*$C$21/N60)</f>
        <v>4</v>
      </c>
      <c r="W50" s="70">
        <f>IF(OR(ISERROR(L50*$C$20/$C$16),MID(B50,1,4)&lt;&gt;"WPL:"),0,L50*$C$20/$C$16)</f>
        <v>4</v>
      </c>
      <c r="X50" s="65">
        <f>IF(OR(ISERROR(6107.31*$C$21/N60),MID(B50,1,4)&lt;&gt;"WPL:"),0,6107.31*$C$21/N60)</f>
        <v>4</v>
      </c>
      <c r="Y50" s="71">
        <f>IF(OR(ISERROR(470648.06*$C$20/$C$16),MID(B50,1,4)&lt;&gt;"WPL:"),0,470648.06*$C$20/$C$16)</f>
        <v>4</v>
      </c>
      <c r="Z50" s="72">
        <f>IF(OR(ISERROR(L50*$C$21/N60),MID(B50,1,4)&lt;&gt;"WPL:"),0,L50*$C$21/N60)</f>
        <v>4</v>
      </c>
      <c r="AA50" s="73">
        <f>IF(OR(ISERROR(6107.31*$C$21/N60),MID(B50,1,4)&lt;&gt;"WPL:"),0,6107.31*$C$21/N60)</f>
        <v>4</v>
      </c>
      <c r="AB50" s="71">
        <f>IF(OR(ISERROR(470648.06*$C$20),MID(B50,1,4)&lt;&gt;"WPL:"),0,470648.06*$C$21/N60)</f>
        <v>4</v>
      </c>
      <c r="AC50" s="69"/>
      <c r="AD50" s="74" t="s">
        <v>498</v>
      </c>
      <c r="AE50" s="74" t="s">
        <v>499</v>
      </c>
      <c r="AF50" s="74">
        <v>6.317808219</v>
      </c>
      <c r="AG50" s="74">
        <v>2.125</v>
      </c>
      <c r="AH50" s="74"/>
      <c r="AI50" s="74">
        <v>0.1387403</v>
      </c>
      <c r="AJ50" s="74">
        <v>5.924710257</v>
      </c>
      <c r="AK50" s="74">
        <v>5.916501684</v>
      </c>
      <c r="AL50" s="74">
        <v>42.9998645</v>
      </c>
      <c r="AM50" s="75" t="s">
        <v>89</v>
      </c>
    </row>
    <row r="51" spans="1:39" ht="13.5" customHeight="1" outlineLevel="1">
      <c r="A51" s="57" t="s">
        <v>500</v>
      </c>
      <c r="B51" s="58" t="s">
        <v>501</v>
      </c>
      <c r="C51" s="59" t="s">
        <v>502</v>
      </c>
      <c r="D51" s="60" t="s">
        <v>503</v>
      </c>
      <c r="E51" s="60">
        <v>128625</v>
      </c>
      <c r="F51" s="58" t="s">
        <v>504</v>
      </c>
      <c r="G51" s="61" t="s">
        <v>504</v>
      </c>
      <c r="H51" s="62">
        <v>328</v>
      </c>
      <c r="I51" s="63">
        <v>113.5124</v>
      </c>
      <c r="J51" s="60" t="s">
        <v>17</v>
      </c>
      <c r="K51" s="61" t="s">
        <v>75</v>
      </c>
      <c r="L51" s="64">
        <v>620000</v>
      </c>
      <c r="M51" s="62">
        <v>22286.03</v>
      </c>
      <c r="N51" s="65">
        <v>726062.91</v>
      </c>
      <c r="O51" s="65">
        <v>3.1</v>
      </c>
      <c r="P51" s="64">
        <v>3.1463189285341064</v>
      </c>
      <c r="Q51" s="66">
        <f>IF(OR(ISERROR(L51*$C$20/$C$16),EXACT(MID(B51,1,4),"WPL:")),0,L51*$C$20/$C$16)</f>
        <v>4</v>
      </c>
      <c r="R51" s="67">
        <f>IF(OR(ISERROR(M51*$C$20/$C$16),EXACT(MID(B51,1,4),"WPL:")),0,M51*$C$20/$C$16)</f>
        <v>4</v>
      </c>
      <c r="S51" s="68">
        <f>IF(OR(ISERROR(N51*$C$20/$C$16),EXACT(MID(B51,1,4),"WPL:")),0,N51*$C$20/$C$16)</f>
        <v>4</v>
      </c>
      <c r="T51" s="62">
        <f>IF(OR(ISERROR(L51*$C$21/N60),EXACT(MID(B51,1,4),"WPL:")),0,L51*$C$21/N60)</f>
        <v>4</v>
      </c>
      <c r="U51" s="62">
        <f>IF(OR(ISERROR(M51*$C$21/N60),EXACT(MID(B51,1,4),"WPL:")),0,M51*$C$21/N60)</f>
        <v>4</v>
      </c>
      <c r="V51" s="69">
        <f>IF(OR(ISERROR(M51*$C$20),EXACT(MID(B51,1,4),"WPL:")),0,N51*$C$21/N60)</f>
        <v>4</v>
      </c>
      <c r="W51" s="70">
        <f>IF(OR(ISERROR(L51*$C$20/$C$16),MID(B51,1,4)&lt;&gt;"WPL:"),0,L51*$C$20/$C$16)</f>
        <v>4</v>
      </c>
      <c r="X51" s="65">
        <f>IF(OR(ISERROR(22286.03*$C$21/N60),MID(B51,1,4)&lt;&gt;"WPL:"),0,22286.03*$C$21/N60)</f>
        <v>4</v>
      </c>
      <c r="Y51" s="71">
        <f>IF(OR(ISERROR(726062.91*$C$20/$C$16),MID(B51,1,4)&lt;&gt;"WPL:"),0,726062.91*$C$20/$C$16)</f>
        <v>4</v>
      </c>
      <c r="Z51" s="72">
        <f>IF(OR(ISERROR(L51*$C$21/N60),MID(B51,1,4)&lt;&gt;"WPL:"),0,L51*$C$21/N60)</f>
        <v>4</v>
      </c>
      <c r="AA51" s="73">
        <f>IF(OR(ISERROR(22286.03*$C$21/N60),MID(B51,1,4)&lt;&gt;"WPL:"),0,22286.03*$C$21/N60)</f>
        <v>4</v>
      </c>
      <c r="AB51" s="71">
        <f>IF(OR(ISERROR(726062.91*$C$20),MID(B51,1,4)&lt;&gt;"WPL:"),0,726062.91*$C$21/N60)</f>
        <v>4</v>
      </c>
      <c r="AC51" s="69"/>
      <c r="AD51" s="74" t="s">
        <v>516</v>
      </c>
      <c r="AE51" s="74" t="s">
        <v>517</v>
      </c>
      <c r="AF51" s="74">
        <v>3.115068493</v>
      </c>
      <c r="AG51" s="74">
        <v>4</v>
      </c>
      <c r="AH51" s="74"/>
      <c r="AI51" s="74">
        <v>-0.3133654</v>
      </c>
      <c r="AJ51" s="74">
        <v>2.907347835</v>
      </c>
      <c r="AK51" s="74">
        <v>2.916487095</v>
      </c>
      <c r="AL51" s="74">
        <v>12.2425346</v>
      </c>
      <c r="AM51" s="75" t="s">
        <v>89</v>
      </c>
    </row>
    <row r="52" spans="1:39" ht="13.5" customHeight="1" outlineLevel="1">
      <c r="A52" s="57" t="s">
        <v>518</v>
      </c>
      <c r="B52" s="58" t="s">
        <v>519</v>
      </c>
      <c r="C52" s="59" t="s">
        <v>520</v>
      </c>
      <c r="D52" s="60" t="s">
        <v>521</v>
      </c>
      <c r="E52" s="60">
        <v>128625</v>
      </c>
      <c r="F52" s="58" t="s">
        <v>504</v>
      </c>
      <c r="G52" s="61" t="s">
        <v>504</v>
      </c>
      <c r="H52" s="62">
        <v>158</v>
      </c>
      <c r="I52" s="63">
        <v>132.295</v>
      </c>
      <c r="J52" s="60" t="s">
        <v>17</v>
      </c>
      <c r="K52" s="61" t="s">
        <v>75</v>
      </c>
      <c r="L52" s="64">
        <v>620000</v>
      </c>
      <c r="M52" s="62">
        <v>11674.68</v>
      </c>
      <c r="N52" s="65">
        <v>831903.68</v>
      </c>
      <c r="O52" s="65">
        <v>3.6</v>
      </c>
      <c r="P52" s="64">
        <v>3.6049690172180537</v>
      </c>
      <c r="Q52" s="66">
        <f>IF(OR(ISERROR(L52*$C$20/$C$16),EXACT(MID(B52,1,4),"WPL:")),0,L52*$C$20/$C$16)</f>
        <v>4</v>
      </c>
      <c r="R52" s="67">
        <f>IF(OR(ISERROR(M52*$C$20/$C$16),EXACT(MID(B52,1,4),"WPL:")),0,M52*$C$20/$C$16)</f>
        <v>4</v>
      </c>
      <c r="S52" s="68">
        <f>IF(OR(ISERROR(N52*$C$20/$C$16),EXACT(MID(B52,1,4),"WPL:")),0,N52*$C$20/$C$16)</f>
        <v>4</v>
      </c>
      <c r="T52" s="62">
        <f>IF(OR(ISERROR(L52*$C$21/N60),EXACT(MID(B52,1,4),"WPL:")),0,L52*$C$21/N60)</f>
        <v>4</v>
      </c>
      <c r="U52" s="62">
        <f>IF(OR(ISERROR(M52*$C$21/N60),EXACT(MID(B52,1,4),"WPL:")),0,M52*$C$21/N60)</f>
        <v>4</v>
      </c>
      <c r="V52" s="69">
        <f>IF(OR(ISERROR(M52*$C$20),EXACT(MID(B52,1,4),"WPL:")),0,N52*$C$21/N60)</f>
        <v>4</v>
      </c>
      <c r="W52" s="70">
        <f>IF(OR(ISERROR(L52*$C$20/$C$16),MID(B52,1,4)&lt;&gt;"WPL:"),0,L52*$C$20/$C$16)</f>
        <v>4</v>
      </c>
      <c r="X52" s="65">
        <f>IF(OR(ISERROR(11674.68*$C$21/N60),MID(B52,1,4)&lt;&gt;"WPL:"),0,11674.68*$C$21/N60)</f>
        <v>4</v>
      </c>
      <c r="Y52" s="71">
        <f>IF(OR(ISERROR(831903.68*$C$20/$C$16),MID(B52,1,4)&lt;&gt;"WPL:"),0,831903.68*$C$20/$C$16)</f>
        <v>4</v>
      </c>
      <c r="Z52" s="72">
        <f>IF(OR(ISERROR(L52*$C$21/N60),MID(B52,1,4)&lt;&gt;"WPL:"),0,L52*$C$21/N60)</f>
        <v>4</v>
      </c>
      <c r="AA52" s="73">
        <f>IF(OR(ISERROR(11674.68*$C$21/N60),MID(B52,1,4)&lt;&gt;"WPL:"),0,11674.68*$C$21/N60)</f>
        <v>4</v>
      </c>
      <c r="AB52" s="71">
        <f>IF(OR(ISERROR(831903.68*$C$20),MID(B52,1,4)&lt;&gt;"WPL:"),0,831903.68*$C$21/N60)</f>
        <v>4</v>
      </c>
      <c r="AC52" s="69"/>
      <c r="AD52" s="74" t="s">
        <v>533</v>
      </c>
      <c r="AE52" s="74" t="s">
        <v>534</v>
      </c>
      <c r="AF52" s="74">
        <v>8.583561644</v>
      </c>
      <c r="AG52" s="74">
        <v>4.35</v>
      </c>
      <c r="AH52" s="74"/>
      <c r="AI52" s="74">
        <v>0.4950314</v>
      </c>
      <c r="AJ52" s="74">
        <v>7.427366933</v>
      </c>
      <c r="AK52" s="74">
        <v>7.390780249</v>
      </c>
      <c r="AL52" s="74">
        <v>68.0780451</v>
      </c>
      <c r="AM52" s="75" t="s">
        <v>89</v>
      </c>
    </row>
    <row r="53" spans="1:39" ht="13.5" customHeight="1" outlineLevel="1">
      <c r="A53" s="57" t="s">
        <v>535</v>
      </c>
      <c r="B53" s="58" t="s">
        <v>536</v>
      </c>
      <c r="C53" s="59" t="s">
        <v>520</v>
      </c>
      <c r="D53" s="60" t="s">
        <v>521</v>
      </c>
      <c r="E53" s="60">
        <v>128625</v>
      </c>
      <c r="F53" s="58" t="s">
        <v>504</v>
      </c>
      <c r="G53" s="61" t="s">
        <v>504</v>
      </c>
      <c r="H53" s="62">
        <v>158</v>
      </c>
      <c r="I53" s="63">
        <v>132.295</v>
      </c>
      <c r="J53" s="60" t="s">
        <v>17</v>
      </c>
      <c r="K53" s="61" t="s">
        <v>75</v>
      </c>
      <c r="L53" s="64">
        <v>496000</v>
      </c>
      <c r="M53" s="62"/>
      <c r="N53" s="76"/>
      <c r="O53" s="65">
        <v>0</v>
      </c>
      <c r="P53" s="64">
        <v>0</v>
      </c>
      <c r="Q53" s="66">
        <f>IF(OR(ISERROR(L53*$C$20/$C$16),EXACT(MID(B53,1,4),"WPL:")),0,L53*$C$20/$C$16)</f>
        <v>4</v>
      </c>
      <c r="R53" s="67">
        <f>IF(OR(ISERROR(M53*$C$20/$C$16),EXACT(MID(B53,1,4),"WPL:")),0,M53*$C$20/$C$16)</f>
        <v>4</v>
      </c>
      <c r="S53" s="68">
        <f>IF(OR(ISERROR(N53*$C$20/$C$16),EXACT(MID(B53,1,4),"WPL:")),0,N53*$C$20/$C$16)</f>
        <v>4</v>
      </c>
      <c r="T53" s="62">
        <f>IF(OR(ISERROR(L53*$C$21/N60),EXACT(MID(B53,1,4),"WPL:")),0,L53*$C$21/N60)</f>
        <v>4</v>
      </c>
      <c r="U53" s="62">
        <f>IF(OR(ISERROR(M53*$C$21/N60),EXACT(MID(B53,1,4),"WPL:")),0,M53*$C$21/N60)</f>
        <v>4</v>
      </c>
      <c r="V53" s="69">
        <f>IF(OR(ISERROR(M53*$C$20),EXACT(MID(B53,1,4),"WPL:")),0,N53*$C$21/N60)</f>
        <v>4</v>
      </c>
      <c r="W53" s="70">
        <f>IF(OR(ISERROR(L53*$C$20/$C$16),MID(B53,1,4)&lt;&gt;"WPL:"),0,L53*$C$20/$C$16)</f>
        <v>4</v>
      </c>
      <c r="X53" s="65">
        <f>IF(OR(ISERROR(9339.747952*$C$21/N60),MID(B53,1,4)&lt;&gt;"WPL:"),0,9339.747952*$C$21/N60)</f>
        <v>4</v>
      </c>
      <c r="Y53" s="71">
        <f>IF(OR(ISERROR(656183.2*$C$20/$C$16),MID(B53,1,4)&lt;&gt;"WPL:"),0,656183.2*$C$20/$C$16)</f>
        <v>4</v>
      </c>
      <c r="Z53" s="72">
        <f>IF(OR(ISERROR(L53*$C$21/N60),MID(B53,1,4)&lt;&gt;"WPL:"),0,L53*$C$21/N60)</f>
        <v>4</v>
      </c>
      <c r="AA53" s="73">
        <f>IF(OR(ISERROR(9339.747952*$C$21/N60),MID(B53,1,4)&lt;&gt;"WPL:"),0,9339.747952*$C$21/N60)</f>
        <v>4</v>
      </c>
      <c r="AB53" s="71">
        <f>IF(OR(ISERROR(656183.2*$C$20),MID(B53,1,4)&lt;&gt;"WPL:"),0,656183.2*$C$21/N60)</f>
        <v>4</v>
      </c>
      <c r="AC53" s="69"/>
      <c r="AD53" s="74" t="s">
        <v>533</v>
      </c>
      <c r="AE53" s="74" t="s">
        <v>534</v>
      </c>
      <c r="AF53" s="74">
        <v>8.583561644</v>
      </c>
      <c r="AG53" s="74">
        <v>4.35</v>
      </c>
      <c r="AH53" s="74"/>
      <c r="AI53" s="74">
        <v>0.4950314</v>
      </c>
      <c r="AJ53" s="74">
        <v>7.427366933</v>
      </c>
      <c r="AK53" s="74">
        <v>7.390780249</v>
      </c>
      <c r="AL53" s="74">
        <v>68.0780451</v>
      </c>
      <c r="AM53" s="75" t="s">
        <v>89</v>
      </c>
    </row>
    <row r="54" spans="1:39" ht="13.5" customHeight="1" outlineLevel="1">
      <c r="A54" s="57" t="s">
        <v>548</v>
      </c>
      <c r="B54" s="58" t="s">
        <v>549</v>
      </c>
      <c r="C54" s="59" t="s">
        <v>550</v>
      </c>
      <c r="D54" s="60" t="s">
        <v>551</v>
      </c>
      <c r="E54" s="60">
        <v>128625</v>
      </c>
      <c r="F54" s="58" t="s">
        <v>504</v>
      </c>
      <c r="G54" s="61" t="s">
        <v>504</v>
      </c>
      <c r="H54" s="62">
        <v>126</v>
      </c>
      <c r="I54" s="63">
        <v>120.3864</v>
      </c>
      <c r="J54" s="60" t="s">
        <v>17</v>
      </c>
      <c r="K54" s="61" t="s">
        <v>75</v>
      </c>
      <c r="L54" s="64">
        <v>601000</v>
      </c>
      <c r="M54" s="62">
        <v>7002.06</v>
      </c>
      <c r="N54" s="65">
        <v>730524.32</v>
      </c>
      <c r="O54" s="65">
        <v>3.2</v>
      </c>
      <c r="P54" s="64">
        <v>3.1656519898124347</v>
      </c>
      <c r="Q54" s="66">
        <f>IF(OR(ISERROR(L54*$C$20/$C$16),EXACT(MID(B54,1,4),"WPL:")),0,L54*$C$20/$C$16)</f>
        <v>4</v>
      </c>
      <c r="R54" s="67">
        <f>IF(OR(ISERROR(M54*$C$20/$C$16),EXACT(MID(B54,1,4),"WPL:")),0,M54*$C$20/$C$16)</f>
        <v>4</v>
      </c>
      <c r="S54" s="68">
        <f>IF(OR(ISERROR(N54*$C$20/$C$16),EXACT(MID(B54,1,4),"WPL:")),0,N54*$C$20/$C$16)</f>
        <v>4</v>
      </c>
      <c r="T54" s="62">
        <f>IF(OR(ISERROR(L54*$C$21/N60),EXACT(MID(B54,1,4),"WPL:")),0,L54*$C$21/N60)</f>
        <v>4</v>
      </c>
      <c r="U54" s="62">
        <f>IF(OR(ISERROR(M54*$C$21/N60),EXACT(MID(B54,1,4),"WPL:")),0,M54*$C$21/N60)</f>
        <v>4</v>
      </c>
      <c r="V54" s="69">
        <f>IF(OR(ISERROR(M54*$C$20),EXACT(MID(B54,1,4),"WPL:")),0,N54*$C$21/N60)</f>
        <v>4</v>
      </c>
      <c r="W54" s="70">
        <f>IF(OR(ISERROR(L54*$C$20/$C$16),MID(B54,1,4)&lt;&gt;"WPL:"),0,L54*$C$20/$C$16)</f>
        <v>4</v>
      </c>
      <c r="X54" s="65">
        <f>IF(OR(ISERROR(7002.06*$C$21/N60),MID(B54,1,4)&lt;&gt;"WPL:"),0,7002.06*$C$21/N60)</f>
        <v>4</v>
      </c>
      <c r="Y54" s="71">
        <f>IF(OR(ISERROR(730524.32*$C$20/$C$16),MID(B54,1,4)&lt;&gt;"WPL:"),0,730524.32*$C$20/$C$16)</f>
        <v>4</v>
      </c>
      <c r="Z54" s="72">
        <f>IF(OR(ISERROR(L54*$C$21/N60),MID(B54,1,4)&lt;&gt;"WPL:"),0,L54*$C$21/N60)</f>
        <v>4</v>
      </c>
      <c r="AA54" s="73">
        <f>IF(OR(ISERROR(7002.06*$C$21/N60),MID(B54,1,4)&lt;&gt;"WPL:"),0,7002.06*$C$21/N60)</f>
        <v>4</v>
      </c>
      <c r="AB54" s="71">
        <f>IF(OR(ISERROR(730524.32*$C$20),MID(B54,1,4)&lt;&gt;"WPL:"),0,730524.32*$C$21/N60)</f>
        <v>4</v>
      </c>
      <c r="AC54" s="69"/>
      <c r="AD54" s="74" t="s">
        <v>563</v>
      </c>
      <c r="AE54" s="74" t="s">
        <v>564</v>
      </c>
      <c r="AF54" s="74">
        <v>7.671232877</v>
      </c>
      <c r="AG54" s="74">
        <v>3.375</v>
      </c>
      <c r="AH54" s="74"/>
      <c r="AI54" s="74">
        <v>0.6408734</v>
      </c>
      <c r="AJ54" s="74">
        <v>6.901328825</v>
      </c>
      <c r="AK54" s="74">
        <v>6.857381689</v>
      </c>
      <c r="AL54" s="74">
        <v>57.5840722</v>
      </c>
      <c r="AM54" s="75" t="s">
        <v>89</v>
      </c>
    </row>
    <row r="55" spans="1:39" ht="13.5" customHeight="1" outlineLevel="1">
      <c r="A55" s="57" t="s">
        <v>565</v>
      </c>
      <c r="B55" s="58" t="s">
        <v>566</v>
      </c>
      <c r="C55" s="59" t="s">
        <v>567</v>
      </c>
      <c r="D55" s="60" t="s">
        <v>568</v>
      </c>
      <c r="E55" s="60">
        <v>128625</v>
      </c>
      <c r="F55" s="58" t="s">
        <v>504</v>
      </c>
      <c r="G55" s="61" t="s">
        <v>504</v>
      </c>
      <c r="H55" s="62">
        <v>21</v>
      </c>
      <c r="I55" s="63">
        <v>117.335</v>
      </c>
      <c r="J55" s="60" t="s">
        <v>17</v>
      </c>
      <c r="K55" s="61" t="s">
        <v>75</v>
      </c>
      <c r="L55" s="64">
        <v>620000</v>
      </c>
      <c r="M55" s="62">
        <v>1070.14</v>
      </c>
      <c r="N55" s="65">
        <v>728547.14</v>
      </c>
      <c r="O55" s="65">
        <v>3.2</v>
      </c>
      <c r="P55" s="64">
        <v>3.157084083680005</v>
      </c>
      <c r="Q55" s="66">
        <f>IF(OR(ISERROR(L55*$C$20/$C$16),EXACT(MID(B55,1,4),"WPL:")),0,L55*$C$20/$C$16)</f>
        <v>4</v>
      </c>
      <c r="R55" s="67">
        <f>IF(OR(ISERROR(M55*$C$20/$C$16),EXACT(MID(B55,1,4),"WPL:")),0,M55*$C$20/$C$16)</f>
        <v>4</v>
      </c>
      <c r="S55" s="68">
        <f>IF(OR(ISERROR(N55*$C$20/$C$16),EXACT(MID(B55,1,4),"WPL:")),0,N55*$C$20/$C$16)</f>
        <v>4</v>
      </c>
      <c r="T55" s="62">
        <f>IF(OR(ISERROR(L55*$C$21/N60),EXACT(MID(B55,1,4),"WPL:")),0,L55*$C$21/N60)</f>
        <v>4</v>
      </c>
      <c r="U55" s="62">
        <f>IF(OR(ISERROR(M55*$C$21/N60),EXACT(MID(B55,1,4),"WPL:")),0,M55*$C$21/N60)</f>
        <v>4</v>
      </c>
      <c r="V55" s="69">
        <f>IF(OR(ISERROR(M55*$C$20),EXACT(MID(B55,1,4),"WPL:")),0,N55*$C$21/N60)</f>
        <v>4</v>
      </c>
      <c r="W55" s="70">
        <f>IF(OR(ISERROR(L55*$C$20/$C$16),MID(B55,1,4)&lt;&gt;"WPL:"),0,L55*$C$20/$C$16)</f>
        <v>4</v>
      </c>
      <c r="X55" s="65">
        <f>IF(OR(ISERROR(1070.14*$C$21/N60),MID(B55,1,4)&lt;&gt;"WPL:"),0,1070.14*$C$21/N60)</f>
        <v>4</v>
      </c>
      <c r="Y55" s="71">
        <f>IF(OR(ISERROR(728547.14*$C$20/$C$16),MID(B55,1,4)&lt;&gt;"WPL:"),0,728547.14*$C$20/$C$16)</f>
        <v>4</v>
      </c>
      <c r="Z55" s="72">
        <f>IF(OR(ISERROR(L55*$C$21/N60),MID(B55,1,4)&lt;&gt;"WPL:"),0,L55*$C$21/N60)</f>
        <v>4</v>
      </c>
      <c r="AA55" s="73">
        <f>IF(OR(ISERROR(1070.14*$C$21/N60),MID(B55,1,4)&lt;&gt;"WPL:"),0,1070.14*$C$21/N60)</f>
        <v>4</v>
      </c>
      <c r="AB55" s="71">
        <f>IF(OR(ISERROR(728547.14*$C$20),MID(B55,1,4)&lt;&gt;"WPL:"),0,728547.14*$C$21/N60)</f>
        <v>4</v>
      </c>
      <c r="AC55" s="69"/>
      <c r="AD55" s="74" t="s">
        <v>580</v>
      </c>
      <c r="AE55" s="74" t="s">
        <v>581</v>
      </c>
      <c r="AF55" s="74">
        <v>5.956164384</v>
      </c>
      <c r="AG55" s="74">
        <v>3</v>
      </c>
      <c r="AH55" s="74"/>
      <c r="AI55" s="74">
        <v>0.0801074</v>
      </c>
      <c r="AJ55" s="74">
        <v>5.570996416</v>
      </c>
      <c r="AK55" s="74">
        <v>5.566537208</v>
      </c>
      <c r="AL55" s="74">
        <v>37.848459</v>
      </c>
      <c r="AM55" s="75" t="s">
        <v>89</v>
      </c>
    </row>
    <row r="56" spans="1:39" ht="13.5" customHeight="1" outlineLevel="1">
      <c r="A56" s="57" t="s">
        <v>582</v>
      </c>
      <c r="B56" s="58" t="s">
        <v>583</v>
      </c>
      <c r="C56" s="59" t="s">
        <v>584</v>
      </c>
      <c r="D56" s="60" t="s">
        <v>585</v>
      </c>
      <c r="E56" s="60">
        <v>128625</v>
      </c>
      <c r="F56" s="58" t="s">
        <v>504</v>
      </c>
      <c r="G56" s="61" t="s">
        <v>504</v>
      </c>
      <c r="H56" s="62">
        <v>113</v>
      </c>
      <c r="I56" s="63">
        <v>103.0308</v>
      </c>
      <c r="J56" s="60" t="s">
        <v>17</v>
      </c>
      <c r="K56" s="61" t="s">
        <v>75</v>
      </c>
      <c r="L56" s="64">
        <v>620000</v>
      </c>
      <c r="M56" s="62">
        <v>2879.18</v>
      </c>
      <c r="N56" s="65">
        <v>641670.14</v>
      </c>
      <c r="O56" s="65">
        <v>2.8</v>
      </c>
      <c r="P56" s="64">
        <v>2.780611541439474</v>
      </c>
      <c r="Q56" s="66">
        <f>IF(OR(ISERROR(L56*$C$20/$C$16),EXACT(MID(B56,1,4),"WPL:")),0,L56*$C$20/$C$16)</f>
        <v>4</v>
      </c>
      <c r="R56" s="67">
        <f>IF(OR(ISERROR(M56*$C$20/$C$16),EXACT(MID(B56,1,4),"WPL:")),0,M56*$C$20/$C$16)</f>
        <v>4</v>
      </c>
      <c r="S56" s="68">
        <f>IF(OR(ISERROR(N56*$C$20/$C$16),EXACT(MID(B56,1,4),"WPL:")),0,N56*$C$20/$C$16)</f>
        <v>4</v>
      </c>
      <c r="T56" s="62">
        <f>IF(OR(ISERROR(L56*$C$21/N60),EXACT(MID(B56,1,4),"WPL:")),0,L56*$C$21/N60)</f>
        <v>4</v>
      </c>
      <c r="U56" s="62">
        <f>IF(OR(ISERROR(M56*$C$21/N60),EXACT(MID(B56,1,4),"WPL:")),0,M56*$C$21/N60)</f>
        <v>4</v>
      </c>
      <c r="V56" s="69">
        <f>IF(OR(ISERROR(M56*$C$20),EXACT(MID(B56,1,4),"WPL:")),0,N56*$C$21/N60)</f>
        <v>4</v>
      </c>
      <c r="W56" s="70">
        <f>IF(OR(ISERROR(L56*$C$20/$C$16),MID(B56,1,4)&lt;&gt;"WPL:"),0,L56*$C$20/$C$16)</f>
        <v>4</v>
      </c>
      <c r="X56" s="65">
        <f>IF(OR(ISERROR(2879.18*$C$21/N60),MID(B56,1,4)&lt;&gt;"WPL:"),0,2879.18*$C$21/N60)</f>
        <v>4</v>
      </c>
      <c r="Y56" s="71">
        <f>IF(OR(ISERROR(641670.14*$C$20/$C$16),MID(B56,1,4)&lt;&gt;"WPL:"),0,641670.14*$C$20/$C$16)</f>
        <v>4</v>
      </c>
      <c r="Z56" s="72">
        <f>IF(OR(ISERROR(L56*$C$21/N60),MID(B56,1,4)&lt;&gt;"WPL:"),0,L56*$C$21/N60)</f>
        <v>4</v>
      </c>
      <c r="AA56" s="73">
        <f>IF(OR(ISERROR(2879.18*$C$21/N60),MID(B56,1,4)&lt;&gt;"WPL:"),0,2879.18*$C$21/N60)</f>
        <v>4</v>
      </c>
      <c r="AB56" s="71">
        <f>IF(OR(ISERROR(641670.14*$C$20),MID(B56,1,4)&lt;&gt;"WPL:"),0,641670.14*$C$21/N60)</f>
        <v>4</v>
      </c>
      <c r="AC56" s="69"/>
      <c r="AD56" s="74" t="s">
        <v>597</v>
      </c>
      <c r="AE56" s="74" t="s">
        <v>598</v>
      </c>
      <c r="AF56" s="74">
        <v>1.701369863</v>
      </c>
      <c r="AG56" s="74">
        <v>1.5</v>
      </c>
      <c r="AH56" s="74"/>
      <c r="AI56" s="74">
        <v>-0.2745318</v>
      </c>
      <c r="AJ56" s="74">
        <v>1.686843877</v>
      </c>
      <c r="AK56" s="74">
        <v>1.691487547</v>
      </c>
      <c r="AL56" s="74">
        <v>4.5913545</v>
      </c>
      <c r="AM56" s="75" t="s">
        <v>89</v>
      </c>
    </row>
    <row r="57" spans="1:39" ht="13.5" customHeight="1" outlineLevel="1">
      <c r="A57" s="57" t="s">
        <v>599</v>
      </c>
      <c r="B57" s="58" t="s">
        <v>600</v>
      </c>
      <c r="C57" s="59" t="s">
        <v>601</v>
      </c>
      <c r="D57" s="60" t="s">
        <v>602</v>
      </c>
      <c r="E57" s="60">
        <v>452875</v>
      </c>
      <c r="F57" s="58" t="s">
        <v>485</v>
      </c>
      <c r="G57" s="61" t="s">
        <v>486</v>
      </c>
      <c r="H57" s="62">
        <v>307</v>
      </c>
      <c r="I57" s="63">
        <v>111.568</v>
      </c>
      <c r="J57" s="60" t="s">
        <v>17</v>
      </c>
      <c r="K57" s="61" t="s">
        <v>75</v>
      </c>
      <c r="L57" s="64">
        <v>413000</v>
      </c>
      <c r="M57" s="62">
        <v>11723.83</v>
      </c>
      <c r="N57" s="65">
        <v>472499.67</v>
      </c>
      <c r="O57" s="65">
        <v>2</v>
      </c>
      <c r="P57" s="64">
        <v>2.0475287126939437</v>
      </c>
      <c r="Q57" s="66">
        <f>IF(OR(ISERROR(L57*$C$20/$C$16),EXACT(MID(B57,1,4),"WPL:")),0,L57*$C$20/$C$16)</f>
        <v>4</v>
      </c>
      <c r="R57" s="67">
        <f>IF(OR(ISERROR(M57*$C$20/$C$16),EXACT(MID(B57,1,4),"WPL:")),0,M57*$C$20/$C$16)</f>
        <v>4</v>
      </c>
      <c r="S57" s="68">
        <f>IF(OR(ISERROR(N57*$C$20/$C$16),EXACT(MID(B57,1,4),"WPL:")),0,N57*$C$20/$C$16)</f>
        <v>4</v>
      </c>
      <c r="T57" s="62">
        <f>IF(OR(ISERROR(L57*$C$21/N60),EXACT(MID(B57,1,4),"WPL:")),0,L57*$C$21/N60)</f>
        <v>4</v>
      </c>
      <c r="U57" s="62">
        <f>IF(OR(ISERROR(M57*$C$21/N60),EXACT(MID(B57,1,4),"WPL:")),0,M57*$C$21/N60)</f>
        <v>4</v>
      </c>
      <c r="V57" s="69">
        <f>IF(OR(ISERROR(M57*$C$20),EXACT(MID(B57,1,4),"WPL:")),0,N57*$C$21/N60)</f>
        <v>4</v>
      </c>
      <c r="W57" s="70">
        <f>IF(OR(ISERROR(L57*$C$20/$C$16),MID(B57,1,4)&lt;&gt;"WPL:"),0,L57*$C$20/$C$16)</f>
        <v>4</v>
      </c>
      <c r="X57" s="65">
        <f>IF(OR(ISERROR(11723.83*$C$21/N60),MID(B57,1,4)&lt;&gt;"WPL:"),0,11723.83*$C$21/N60)</f>
        <v>4</v>
      </c>
      <c r="Y57" s="71">
        <f>IF(OR(ISERROR(472499.67*$C$20/$C$16),MID(B57,1,4)&lt;&gt;"WPL:"),0,472499.67*$C$20/$C$16)</f>
        <v>4</v>
      </c>
      <c r="Z57" s="72">
        <f>IF(OR(ISERROR(L57*$C$21/N60),MID(B57,1,4)&lt;&gt;"WPL:"),0,L57*$C$21/N60)</f>
        <v>4</v>
      </c>
      <c r="AA57" s="73">
        <f>IF(OR(ISERROR(11723.83*$C$21/N60),MID(B57,1,4)&lt;&gt;"WPL:"),0,11723.83*$C$21/N60)</f>
        <v>4</v>
      </c>
      <c r="AB57" s="71">
        <f>IF(OR(ISERROR(472499.67*$C$20),MID(B57,1,4)&lt;&gt;"WPL:"),0,472499.67*$C$21/N60)</f>
        <v>4</v>
      </c>
      <c r="AC57" s="69"/>
      <c r="AD57" s="74" t="s">
        <v>614</v>
      </c>
      <c r="AE57" s="74" t="s">
        <v>615</v>
      </c>
      <c r="AF57" s="74">
        <v>3.17260274</v>
      </c>
      <c r="AG57" s="74">
        <v>3.375</v>
      </c>
      <c r="AH57" s="74"/>
      <c r="AI57" s="74">
        <v>-0.2547649</v>
      </c>
      <c r="AJ57" s="74">
        <v>2.992938664</v>
      </c>
      <c r="AK57" s="74">
        <v>3.000583095</v>
      </c>
      <c r="AL57" s="74">
        <v>12.7075876</v>
      </c>
      <c r="AM57" s="75" t="s">
        <v>89</v>
      </c>
    </row>
    <row r="58" spans="1:39" ht="13.5" customHeight="1" outlineLevel="1">
      <c r="A58" s="1"/>
      <c r="B58" s="2" t="s">
        <v>616</v>
      </c>
      <c r="C58" s="3"/>
      <c r="D58" s="3"/>
      <c r="E58" s="3"/>
      <c r="F58" s="3"/>
      <c r="G58" s="4"/>
      <c r="H58" s="4"/>
      <c r="I58" s="4"/>
      <c r="J58" s="3"/>
      <c r="K58" s="4"/>
      <c r="L58" s="4"/>
      <c r="M58" s="4"/>
      <c r="N58" s="77">
        <v>204154.29</v>
      </c>
      <c r="O58" s="77">
        <v>0.9</v>
      </c>
      <c r="P58" s="78">
        <v>0.8846816138403781</v>
      </c>
      <c r="Q58" s="79"/>
      <c r="R58" s="80"/>
      <c r="S58" s="81"/>
      <c r="T58" s="4"/>
      <c r="U58" s="4"/>
      <c r="V58" s="82"/>
      <c r="W58" s="3"/>
      <c r="X58" s="3"/>
      <c r="Y58" s="82"/>
      <c r="Z58" s="83"/>
      <c r="AA58" s="83"/>
      <c r="AB58" s="82"/>
      <c r="AC58" s="82"/>
      <c r="AD58" s="3"/>
      <c r="AE58" s="3"/>
      <c r="AF58" s="3"/>
      <c r="AG58" s="3"/>
      <c r="AH58" s="3"/>
      <c r="AI58" s="3"/>
      <c r="AJ58" s="3"/>
      <c r="AK58" s="3"/>
      <c r="AL58" s="3"/>
      <c r="AM58" s="82"/>
    </row>
    <row r="59" spans="1:39" ht="13.5" customHeight="1" outlineLevel="1">
      <c r="A59" s="1"/>
      <c r="B59" s="2" t="s">
        <v>617</v>
      </c>
      <c r="C59" s="3"/>
      <c r="D59" s="3"/>
      <c r="E59" s="3"/>
      <c r="F59" s="3"/>
      <c r="G59" s="4"/>
      <c r="H59" s="4"/>
      <c r="I59" s="4"/>
      <c r="J59" s="3"/>
      <c r="K59" s="4"/>
      <c r="L59" s="4"/>
      <c r="M59" s="4"/>
      <c r="N59" s="77">
        <v>5590.819999998203</v>
      </c>
      <c r="O59" s="77">
        <v>0</v>
      </c>
      <c r="P59" s="78">
        <v>0.024227243328021533</v>
      </c>
      <c r="Q59" s="79"/>
      <c r="R59" s="80"/>
      <c r="S59" s="81"/>
      <c r="T59" s="4"/>
      <c r="U59" s="4"/>
      <c r="V59" s="82"/>
      <c r="W59" s="3"/>
      <c r="X59" s="3"/>
      <c r="Y59" s="82"/>
      <c r="Z59" s="83"/>
      <c r="AA59" s="83"/>
      <c r="AB59" s="82"/>
      <c r="AC59" s="82"/>
      <c r="AD59" s="3"/>
      <c r="AE59" s="3"/>
      <c r="AF59" s="3"/>
      <c r="AG59" s="3"/>
      <c r="AH59" s="3"/>
      <c r="AI59" s="3"/>
      <c r="AJ59" s="3"/>
      <c r="AK59" s="3"/>
      <c r="AL59" s="3"/>
      <c r="AM59" s="82"/>
    </row>
    <row r="60" spans="1:39" ht="13.5" customHeight="1" outlineLevel="1">
      <c r="A60" s="84"/>
      <c r="B60" s="85" t="s">
        <v>618</v>
      </c>
      <c r="C60" s="86"/>
      <c r="D60" s="86"/>
      <c r="E60" s="86"/>
      <c r="F60" s="86"/>
      <c r="G60" s="87"/>
      <c r="H60" s="87"/>
      <c r="I60" s="87"/>
      <c r="J60" s="86"/>
      <c r="K60" s="87"/>
      <c r="L60" s="87">
        <f>SUM(L25:L59)</f>
        <v>4</v>
      </c>
      <c r="M60" s="87">
        <f>SUM(M25:M59)</f>
        <v>4</v>
      </c>
      <c r="N60" s="86">
        <f>SUM(N25:N59)</f>
        <v>4</v>
      </c>
      <c r="O60" s="86">
        <f>SUM(O25:O59)</f>
        <v>4</v>
      </c>
      <c r="P60" s="87">
        <f>SUM(P25:P59)</f>
        <v>4</v>
      </c>
      <c r="Q60" s="88">
        <f>SUM(Q25:Q59)</f>
        <v>4</v>
      </c>
      <c r="R60" s="87">
        <f>SUM(R25:R59)</f>
        <v>4</v>
      </c>
      <c r="S60" s="89">
        <f>SUM(S25:S59)</f>
        <v>4</v>
      </c>
      <c r="T60" s="87"/>
      <c r="U60" s="87"/>
      <c r="V60" s="90"/>
      <c r="W60" s="91"/>
      <c r="X60" s="91"/>
      <c r="Y60" s="90"/>
      <c r="Z60" s="86"/>
      <c r="AA60" s="86"/>
      <c r="AB60" s="90"/>
      <c r="AC60" s="90"/>
      <c r="AD60" s="84"/>
      <c r="AE60" s="84"/>
      <c r="AF60" s="84">
        <v>4.51640559371977</v>
      </c>
      <c r="AG60" s="84">
        <v>3.9436012743024325</v>
      </c>
      <c r="AH60" s="84"/>
      <c r="AI60" s="84">
        <v>0.15374927140262482</v>
      </c>
      <c r="AJ60" s="84">
        <v>4.12400406555466</v>
      </c>
      <c r="AK60" s="84">
        <v>4.138654903914517</v>
      </c>
      <c r="AL60" s="84">
        <v>25.814587002560906</v>
      </c>
      <c r="AM60" s="90"/>
    </row>
    <row r="61" spans="1:39" ht="13.5" customHeight="1" outlineLevel="1">
      <c r="A61" s="1"/>
      <c r="B61" s="2" t="s">
        <v>0</v>
      </c>
      <c r="C61" s="3"/>
      <c r="D61" s="3"/>
      <c r="E61" s="3"/>
      <c r="F61" s="3"/>
      <c r="G61" s="4"/>
      <c r="H61" s="4"/>
      <c r="I61" s="4"/>
      <c r="J61" s="3"/>
      <c r="K61" s="4"/>
      <c r="L61" s="4"/>
      <c r="M61" s="4"/>
      <c r="N61" s="3"/>
      <c r="O61" s="3"/>
      <c r="P61" s="4"/>
      <c r="Q61" s="80"/>
      <c r="R61" s="80"/>
      <c r="S61" s="92"/>
      <c r="T61" s="4"/>
      <c r="U61" s="4"/>
      <c r="V61" s="83"/>
      <c r="W61" s="83"/>
      <c r="X61" s="83"/>
      <c r="Y61" s="83"/>
      <c r="Z61" s="83"/>
      <c r="AA61" s="83"/>
      <c r="AB61" s="83"/>
      <c r="AC61" s="83"/>
      <c r="AD61" s="83"/>
      <c r="AE61" s="83"/>
      <c r="AF61" s="83"/>
      <c r="AG61" s="83"/>
      <c r="AH61" s="83"/>
      <c r="AI61" s="83"/>
      <c r="AJ61" s="83"/>
      <c r="AK61" s="83"/>
      <c r="AL61" s="83"/>
      <c r="AM61" s="83"/>
    </row>
    <row r="62" spans="1:39" ht="13.5" customHeight="1" outlineLevel="1">
      <c r="A62" s="1"/>
      <c r="B62" s="2" t="s">
        <v>0</v>
      </c>
      <c r="C62" s="3"/>
      <c r="D62" s="3"/>
      <c r="E62" s="3"/>
      <c r="F62" s="3"/>
      <c r="G62" s="4"/>
      <c r="H62" s="4"/>
      <c r="I62" s="4"/>
      <c r="J62" s="3"/>
      <c r="K62" s="4"/>
      <c r="L62" s="4"/>
      <c r="M62" s="4"/>
      <c r="N62" s="3"/>
      <c r="O62" s="3"/>
      <c r="P62" s="4"/>
      <c r="Q62" s="80"/>
      <c r="R62" s="80"/>
      <c r="S62" s="92"/>
      <c r="T62" s="4"/>
      <c r="U62" s="4"/>
      <c r="V62" s="83"/>
      <c r="W62" s="83"/>
      <c r="X62" s="83"/>
      <c r="Y62" s="83"/>
      <c r="Z62" s="83"/>
      <c r="AA62" s="83"/>
      <c r="AB62" s="83"/>
      <c r="AC62" s="83"/>
      <c r="AD62" s="83"/>
      <c r="AE62" s="83"/>
      <c r="AF62" s="83"/>
      <c r="AG62" s="83"/>
      <c r="AH62" s="83"/>
      <c r="AI62" s="83"/>
      <c r="AJ62" s="83"/>
      <c r="AK62" s="83"/>
      <c r="AL62" s="83"/>
      <c r="AM62" s="83"/>
    </row>
    <row r="63" spans="1:39" ht="13.5" customHeight="1" outlineLevel="1">
      <c r="A63" s="93"/>
      <c r="B63" s="94" t="s">
        <v>627</v>
      </c>
      <c r="C63" s="94"/>
      <c r="D63" s="94"/>
      <c r="E63" s="94"/>
      <c r="F63" s="94"/>
      <c r="G63" s="95"/>
      <c r="H63" s="95"/>
      <c r="I63" s="95"/>
      <c r="J63" s="94"/>
      <c r="K63" s="95"/>
      <c r="L63" s="95"/>
      <c r="M63" s="95"/>
      <c r="N63" s="94"/>
      <c r="O63" s="94"/>
      <c r="P63" s="95"/>
      <c r="Q63" s="96"/>
      <c r="R63" s="96"/>
      <c r="S63" s="97"/>
      <c r="T63" s="95"/>
      <c r="U63" s="95"/>
      <c r="V63" s="98"/>
      <c r="W63" s="98"/>
      <c r="X63" s="98"/>
      <c r="Y63" s="98"/>
      <c r="Z63" s="98"/>
      <c r="AA63" s="98"/>
      <c r="AB63" s="98"/>
      <c r="AC63" s="98"/>
      <c r="AD63" s="98"/>
      <c r="AE63" s="98"/>
      <c r="AF63" s="98"/>
      <c r="AG63" s="98"/>
      <c r="AH63" s="98"/>
      <c r="AI63" s="98"/>
      <c r="AJ63" s="98"/>
      <c r="AK63" s="98"/>
      <c r="AL63" s="98"/>
      <c r="AM63" s="98"/>
    </row>
    <row r="64" spans="1:39" ht="13.5" customHeight="1" outlineLevel="1">
      <c r="A64" s="1"/>
      <c r="B64" s="2" t="s">
        <v>0</v>
      </c>
      <c r="C64" s="3"/>
      <c r="D64" s="3"/>
      <c r="E64" s="3"/>
      <c r="F64" s="3"/>
      <c r="G64" s="4"/>
      <c r="H64" s="4"/>
      <c r="I64" s="4"/>
      <c r="J64" s="3"/>
      <c r="K64" s="4"/>
      <c r="L64" s="4"/>
      <c r="M64" s="4"/>
      <c r="N64" s="3"/>
      <c r="O64" s="3"/>
      <c r="P64" s="4"/>
      <c r="Q64" s="80"/>
      <c r="R64" s="80"/>
      <c r="S64" s="92"/>
      <c r="T64" s="4"/>
      <c r="U64" s="4"/>
      <c r="V64" s="83"/>
      <c r="W64" s="83"/>
      <c r="X64" s="83"/>
      <c r="Y64" s="83"/>
      <c r="Z64" s="83"/>
      <c r="AA64" s="83"/>
      <c r="AB64" s="83"/>
      <c r="AC64" s="83"/>
      <c r="AD64" s="83"/>
      <c r="AE64" s="83"/>
      <c r="AF64" s="83"/>
      <c r="AG64" s="83"/>
      <c r="AH64" s="83"/>
      <c r="AI64" s="83"/>
      <c r="AJ64" s="83"/>
      <c r="AK64" s="83"/>
      <c r="AL64" s="83"/>
      <c r="AM64" s="83"/>
    </row>
    <row r="65" spans="1:39" ht="44.25" customHeight="1" outlineLevel="1">
      <c r="A65" s="99"/>
      <c r="B65" s="31" t="s">
        <v>29</v>
      </c>
      <c r="C65" s="31" t="s">
        <v>30</v>
      </c>
      <c r="D65" s="100"/>
      <c r="E65" s="100"/>
      <c r="F65" s="100"/>
      <c r="G65" s="100"/>
      <c r="H65" s="100"/>
      <c r="I65" s="101"/>
      <c r="J65" s="101"/>
      <c r="K65" s="101"/>
      <c r="L65" s="101" t="s">
        <v>36</v>
      </c>
      <c r="M65" s="101" t="s">
        <v>37</v>
      </c>
      <c r="N65" s="101" t="s">
        <v>38</v>
      </c>
      <c r="O65" s="101" t="s">
        <v>39</v>
      </c>
      <c r="P65" s="102"/>
      <c r="Q65" s="103" t="s">
        <v>40</v>
      </c>
      <c r="R65" s="104" t="s">
        <v>41</v>
      </c>
      <c r="S65" s="39" t="s">
        <v>42</v>
      </c>
      <c r="T65" s="105" t="s">
        <v>43</v>
      </c>
      <c r="U65" s="105" t="s">
        <v>44</v>
      </c>
      <c r="V65" s="106" t="s">
        <v>45</v>
      </c>
      <c r="W65" s="83"/>
      <c r="X65" s="83"/>
      <c r="Y65" s="83"/>
      <c r="Z65" s="83"/>
      <c r="AA65" s="83"/>
      <c r="AB65" s="83"/>
      <c r="AC65" s="83"/>
      <c r="AD65" s="83"/>
      <c r="AE65" s="83"/>
      <c r="AF65" s="83"/>
      <c r="AG65" s="83"/>
      <c r="AH65" s="83"/>
      <c r="AI65" s="83"/>
      <c r="AJ65" s="83"/>
      <c r="AK65" s="83"/>
      <c r="AL65" s="83"/>
      <c r="AM65" s="83"/>
    </row>
    <row r="66" spans="1:39" ht="18" customHeight="1" outlineLevel="1">
      <c r="A66" s="111"/>
      <c r="B66" s="54"/>
      <c r="C66" s="54"/>
      <c r="D66" s="54"/>
      <c r="E66" s="54"/>
      <c r="F66" s="54"/>
      <c r="G66" s="54"/>
      <c r="H66" s="54"/>
      <c r="I66" s="107"/>
      <c r="J66" s="107"/>
      <c r="K66" s="107"/>
      <c r="L66" s="107"/>
      <c r="M66" s="107" t="s">
        <v>17</v>
      </c>
      <c r="N66" s="107" t="s">
        <v>17</v>
      </c>
      <c r="O66" s="107" t="s">
        <v>64</v>
      </c>
      <c r="P66" s="107" t="s">
        <v>65</v>
      </c>
      <c r="Q66" s="108"/>
      <c r="R66" s="109" t="s">
        <v>17</v>
      </c>
      <c r="S66" s="49" t="s">
        <v>17</v>
      </c>
      <c r="T66" s="52"/>
      <c r="U66" s="52" t="s">
        <v>17</v>
      </c>
      <c r="V66" s="110" t="s">
        <v>17</v>
      </c>
      <c r="W66" s="83"/>
      <c r="X66" s="83"/>
      <c r="Y66" s="83"/>
      <c r="Z66" s="83"/>
      <c r="AA66" s="83"/>
      <c r="AB66" s="83"/>
      <c r="AC66" s="83"/>
      <c r="AD66" s="83"/>
      <c r="AE66" s="83"/>
      <c r="AF66" s="83"/>
      <c r="AG66" s="83"/>
      <c r="AH66" s="83"/>
      <c r="AI66" s="83"/>
      <c r="AJ66" s="83"/>
      <c r="AK66" s="83"/>
      <c r="AL66" s="83"/>
      <c r="AM66" s="83"/>
    </row>
    <row r="67" spans="1:39" ht="12.75" outlineLevel="1">
      <c r="A67" s="112"/>
      <c r="B67" s="113"/>
      <c r="C67" s="112"/>
      <c r="D67" s="112"/>
      <c r="E67" s="112"/>
      <c r="F67" s="112"/>
      <c r="G67" s="112"/>
      <c r="H67" s="112"/>
      <c r="I67" s="112"/>
      <c r="J67" s="112"/>
      <c r="K67" s="112"/>
      <c r="L67" s="112"/>
      <c r="M67" s="112"/>
      <c r="N67" s="114"/>
      <c r="O67" s="115"/>
      <c r="P67" s="115"/>
      <c r="Q67" s="116"/>
      <c r="R67" s="112"/>
      <c r="S67" s="117"/>
      <c r="T67" s="118"/>
      <c r="U67" s="118"/>
      <c r="V67" s="117"/>
      <c r="W67" s="83"/>
      <c r="X67" s="83"/>
      <c r="Y67" s="83"/>
      <c r="Z67" s="83"/>
      <c r="AA67" s="83"/>
      <c r="AB67" s="83"/>
      <c r="AC67" s="83"/>
      <c r="AD67" s="83"/>
      <c r="AE67" s="83"/>
      <c r="AF67" s="83"/>
      <c r="AG67" s="83"/>
      <c r="AH67" s="83"/>
      <c r="AI67" s="83"/>
      <c r="AJ67" s="83"/>
      <c r="AK67" s="83"/>
      <c r="AL67" s="83"/>
      <c r="AM67" s="83"/>
    </row>
    <row r="68" spans="1:39" ht="12.75" outlineLevel="1">
      <c r="A68" s="119" t="s">
        <v>70</v>
      </c>
      <c r="B68" s="2" t="s">
        <v>628</v>
      </c>
      <c r="C68" s="2" t="s">
        <v>504</v>
      </c>
      <c r="D68" s="12"/>
      <c r="E68" s="12"/>
      <c r="F68" s="12"/>
      <c r="G68" s="12"/>
      <c r="H68" s="12"/>
      <c r="I68" s="12"/>
      <c r="J68" s="12"/>
      <c r="K68" s="12"/>
      <c r="L68" s="77">
        <v>3081000</v>
      </c>
      <c r="M68" s="12">
        <v>44912.090000000004</v>
      </c>
      <c r="N68" s="77">
        <v>3658708.1900000004</v>
      </c>
      <c r="O68" s="120">
        <v>15.9</v>
      </c>
      <c r="P68" s="120">
        <v>15.854635560684073</v>
      </c>
      <c r="Q68" s="121">
        <f>IF(ISERROR(L68*$C$20/$C$16),0,L68*$C$20/$C$16)</f>
        <v>4</v>
      </c>
      <c r="R68" s="122">
        <f>IF(ISERROR(M68*$C$20/$C$16),0,M68*$C$20/$C$16)</f>
        <v>4</v>
      </c>
      <c r="S68" s="123">
        <f>IF(ISERROR(N68*$C$20/$C$16),0,N68*$C$20/$C$16)</f>
        <v>4</v>
      </c>
      <c r="T68" s="124">
        <f>IF(ISERROR(L68*$C$21/N81),0,L68*$C$21/N81)</f>
        <v>4</v>
      </c>
      <c r="U68" s="124">
        <f>IF(ISERROR(M68*$C$21/N81),0,M68*$C$21/N81)</f>
        <v>4</v>
      </c>
      <c r="V68" s="125">
        <f>IF(ISERROR(O68*$C$21/N81),0,O68*$C$21/N81)</f>
        <v>4</v>
      </c>
      <c r="W68" s="83"/>
      <c r="X68" s="83"/>
      <c r="Y68" s="83"/>
      <c r="Z68" s="83"/>
      <c r="AA68" s="83"/>
      <c r="AB68" s="83"/>
      <c r="AC68" s="83"/>
      <c r="AD68" s="83"/>
      <c r="AE68" s="83"/>
      <c r="AF68" s="83"/>
      <c r="AG68" s="83"/>
      <c r="AH68" s="83"/>
      <c r="AI68" s="83"/>
      <c r="AJ68" s="83"/>
      <c r="AK68" s="83"/>
      <c r="AL68" s="83"/>
      <c r="AM68" s="83"/>
    </row>
    <row r="69" spans="1:39" ht="12.75" outlineLevel="1">
      <c r="A69" s="119" t="s">
        <v>90</v>
      </c>
      <c r="B69" s="2" t="s">
        <v>635</v>
      </c>
      <c r="C69" s="2" t="s">
        <v>636</v>
      </c>
      <c r="D69" s="12"/>
      <c r="E69" s="12"/>
      <c r="F69" s="12"/>
      <c r="G69" s="12"/>
      <c r="H69" s="12"/>
      <c r="I69" s="12"/>
      <c r="J69" s="12"/>
      <c r="K69" s="12"/>
      <c r="L69" s="77">
        <v>1819491</v>
      </c>
      <c r="M69" s="12">
        <v>0</v>
      </c>
      <c r="N69" s="77">
        <v>2123457.400122</v>
      </c>
      <c r="O69" s="120">
        <v>0</v>
      </c>
      <c r="P69" s="120">
        <v>0</v>
      </c>
      <c r="Q69" s="121">
        <f>IF(ISERROR(L69*$C$20/$C$16),0,L69*$C$20/$C$16)</f>
        <v>4</v>
      </c>
      <c r="R69" s="122">
        <f>IF(ISERROR(M69*$C$20/$C$16),0,M69*$C$20/$C$16)</f>
        <v>4</v>
      </c>
      <c r="S69" s="123">
        <f>IF(ISERROR(N69*$C$20/$C$16),0,N69*$C$20/$C$16)</f>
        <v>4</v>
      </c>
      <c r="T69" s="124">
        <f>IF(ISERROR(L69*$C$21/N82),0,L69*$C$21/N82)</f>
        <v>4</v>
      </c>
      <c r="U69" s="124">
        <f>IF(ISERROR(M69*$C$21/N82),0,M69*$C$21/N82)</f>
        <v>4</v>
      </c>
      <c r="V69" s="125">
        <f>IF(ISERROR(O69*$C$21/N82),0,O69*$C$21/N82)</f>
        <v>4</v>
      </c>
      <c r="W69" s="83"/>
      <c r="X69" s="83"/>
      <c r="Y69" s="83"/>
      <c r="Z69" s="83"/>
      <c r="AA69" s="83"/>
      <c r="AB69" s="83"/>
      <c r="AC69" s="83"/>
      <c r="AD69" s="83"/>
      <c r="AE69" s="83"/>
      <c r="AF69" s="83"/>
      <c r="AG69" s="83"/>
      <c r="AH69" s="83"/>
      <c r="AI69" s="83"/>
      <c r="AJ69" s="83"/>
      <c r="AK69" s="83"/>
      <c r="AL69" s="83"/>
      <c r="AM69" s="83"/>
    </row>
    <row r="70" spans="1:39" ht="12.75" outlineLevel="1">
      <c r="A70" s="119" t="s">
        <v>107</v>
      </c>
      <c r="B70" s="2" t="s">
        <v>643</v>
      </c>
      <c r="C70" s="2" t="s">
        <v>162</v>
      </c>
      <c r="D70" s="12"/>
      <c r="E70" s="12"/>
      <c r="F70" s="12"/>
      <c r="G70" s="12"/>
      <c r="H70" s="12"/>
      <c r="I70" s="12"/>
      <c r="J70" s="12"/>
      <c r="K70" s="12"/>
      <c r="L70" s="77">
        <v>3875000</v>
      </c>
      <c r="M70" s="12">
        <v>94542.31999999999</v>
      </c>
      <c r="N70" s="77">
        <v>4595085.36</v>
      </c>
      <c r="O70" s="120">
        <v>19.9</v>
      </c>
      <c r="P70" s="120">
        <v>19.91232969936167</v>
      </c>
      <c r="Q70" s="121">
        <f>IF(ISERROR(L70*$C$20/$C$16),0,L70*$C$20/$C$16)</f>
        <v>4</v>
      </c>
      <c r="R70" s="122">
        <f>IF(ISERROR(M70*$C$20/$C$16),0,M70*$C$20/$C$16)</f>
        <v>4</v>
      </c>
      <c r="S70" s="123">
        <f>IF(ISERROR(N70*$C$20/$C$16),0,N70*$C$20/$C$16)</f>
        <v>4</v>
      </c>
      <c r="T70" s="124">
        <f>IF(ISERROR(L70*$C$21/N83),0,L70*$C$21/N83)</f>
        <v>4</v>
      </c>
      <c r="U70" s="124">
        <f>IF(ISERROR(M70*$C$21/N83),0,M70*$C$21/N83)</f>
        <v>4</v>
      </c>
      <c r="V70" s="125">
        <f>IF(ISERROR(O70*$C$21/N83),0,O70*$C$21/N83)</f>
        <v>4</v>
      </c>
      <c r="W70" s="83"/>
      <c r="X70" s="83"/>
      <c r="Y70" s="83"/>
      <c r="Z70" s="83"/>
      <c r="AA70" s="83"/>
      <c r="AB70" s="83"/>
      <c r="AC70" s="83"/>
      <c r="AD70" s="83"/>
      <c r="AE70" s="83"/>
      <c r="AF70" s="83"/>
      <c r="AG70" s="83"/>
      <c r="AH70" s="83"/>
      <c r="AI70" s="83"/>
      <c r="AJ70" s="83"/>
      <c r="AK70" s="83"/>
      <c r="AL70" s="83"/>
      <c r="AM70" s="83"/>
    </row>
    <row r="71" spans="1:39" ht="12.75" outlineLevel="1">
      <c r="A71" s="119" t="s">
        <v>124</v>
      </c>
      <c r="B71" s="2" t="s">
        <v>650</v>
      </c>
      <c r="C71" s="2" t="s">
        <v>485</v>
      </c>
      <c r="D71" s="12"/>
      <c r="E71" s="12"/>
      <c r="F71" s="12"/>
      <c r="G71" s="12"/>
      <c r="H71" s="12"/>
      <c r="I71" s="12"/>
      <c r="J71" s="12"/>
      <c r="K71" s="12"/>
      <c r="L71" s="77">
        <v>826000</v>
      </c>
      <c r="M71" s="12">
        <v>17831.14</v>
      </c>
      <c r="N71" s="77">
        <v>943147.73</v>
      </c>
      <c r="O71" s="120">
        <v>4.1</v>
      </c>
      <c r="P71" s="120">
        <v>4.0870336639327505</v>
      </c>
      <c r="Q71" s="121">
        <f>IF(ISERROR(L71*$C$20/$C$16),0,L71*$C$20/$C$16)</f>
        <v>4</v>
      </c>
      <c r="R71" s="122">
        <f>IF(ISERROR(M71*$C$20/$C$16),0,M71*$C$20/$C$16)</f>
        <v>4</v>
      </c>
      <c r="S71" s="123">
        <f>IF(ISERROR(N71*$C$20/$C$16),0,N71*$C$20/$C$16)</f>
        <v>4</v>
      </c>
      <c r="T71" s="124">
        <f>IF(ISERROR(L71*$C$21/N84),0,L71*$C$21/N84)</f>
        <v>4</v>
      </c>
      <c r="U71" s="124">
        <f>IF(ISERROR(M71*$C$21/N84),0,M71*$C$21/N84)</f>
        <v>4</v>
      </c>
      <c r="V71" s="125">
        <f>IF(ISERROR(O71*$C$21/N84),0,O71*$C$21/N84)</f>
        <v>4</v>
      </c>
      <c r="W71" s="83"/>
      <c r="X71" s="83"/>
      <c r="Y71" s="83"/>
      <c r="Z71" s="83"/>
      <c r="AA71" s="83"/>
      <c r="AB71" s="83"/>
      <c r="AC71" s="83"/>
      <c r="AD71" s="83"/>
      <c r="AE71" s="83"/>
      <c r="AF71" s="83"/>
      <c r="AG71" s="83"/>
      <c r="AH71" s="83"/>
      <c r="AI71" s="83"/>
      <c r="AJ71" s="83"/>
      <c r="AK71" s="83"/>
      <c r="AL71" s="83"/>
      <c r="AM71" s="83"/>
    </row>
    <row r="72" spans="1:39" ht="12.75" outlineLevel="1">
      <c r="A72" s="119" t="s">
        <v>141</v>
      </c>
      <c r="B72" s="2" t="s">
        <v>657</v>
      </c>
      <c r="C72" s="2" t="s">
        <v>74</v>
      </c>
      <c r="D72" s="12"/>
      <c r="E72" s="12"/>
      <c r="F72" s="12"/>
      <c r="G72" s="12"/>
      <c r="H72" s="12"/>
      <c r="I72" s="12"/>
      <c r="J72" s="12"/>
      <c r="K72" s="12"/>
      <c r="L72" s="77">
        <v>3883000</v>
      </c>
      <c r="M72" s="12">
        <v>99787.71</v>
      </c>
      <c r="N72" s="77">
        <v>4569340.72</v>
      </c>
      <c r="O72" s="120">
        <v>19.8</v>
      </c>
      <c r="P72" s="120">
        <v>19.800767950338717</v>
      </c>
      <c r="Q72" s="121">
        <f>IF(ISERROR(L72*$C$20/$C$16),0,L72*$C$20/$C$16)</f>
        <v>4</v>
      </c>
      <c r="R72" s="122">
        <f>IF(ISERROR(M72*$C$20/$C$16),0,M72*$C$20/$C$16)</f>
        <v>4</v>
      </c>
      <c r="S72" s="123">
        <f>IF(ISERROR(N72*$C$20/$C$16),0,N72*$C$20/$C$16)</f>
        <v>4</v>
      </c>
      <c r="T72" s="124">
        <f>IF(ISERROR(L72*$C$21/N85),0,L72*$C$21/N85)</f>
        <v>4</v>
      </c>
      <c r="U72" s="124">
        <f>IF(ISERROR(M72*$C$21/N85),0,M72*$C$21/N85)</f>
        <v>4</v>
      </c>
      <c r="V72" s="125">
        <f>IF(ISERROR(O72*$C$21/N85),0,O72*$C$21/N85)</f>
        <v>4</v>
      </c>
      <c r="W72" s="83"/>
      <c r="X72" s="83"/>
      <c r="Y72" s="83"/>
      <c r="Z72" s="83"/>
      <c r="AA72" s="83"/>
      <c r="AB72" s="83"/>
      <c r="AC72" s="83"/>
      <c r="AD72" s="83"/>
      <c r="AE72" s="83"/>
      <c r="AF72" s="83"/>
      <c r="AG72" s="83"/>
      <c r="AH72" s="83"/>
      <c r="AI72" s="83"/>
      <c r="AJ72" s="83"/>
      <c r="AK72" s="83"/>
      <c r="AL72" s="83"/>
      <c r="AM72" s="83"/>
    </row>
    <row r="73" spans="1:39" ht="12.75" outlineLevel="1">
      <c r="A73" s="119" t="s">
        <v>158</v>
      </c>
      <c r="B73" s="2" t="s">
        <v>664</v>
      </c>
      <c r="C73" s="2" t="s">
        <v>287</v>
      </c>
      <c r="D73" s="12"/>
      <c r="E73" s="12"/>
      <c r="F73" s="12"/>
      <c r="G73" s="12"/>
      <c r="H73" s="12"/>
      <c r="I73" s="12"/>
      <c r="J73" s="12"/>
      <c r="K73" s="12"/>
      <c r="L73" s="77">
        <v>3769000</v>
      </c>
      <c r="M73" s="12">
        <v>86638.48</v>
      </c>
      <c r="N73" s="77">
        <v>4584336.41</v>
      </c>
      <c r="O73" s="120">
        <v>19.9</v>
      </c>
      <c r="P73" s="120">
        <v>19.865750230308684</v>
      </c>
      <c r="Q73" s="121">
        <f>IF(ISERROR(L73*$C$20/$C$16),0,L73*$C$20/$C$16)</f>
        <v>4</v>
      </c>
      <c r="R73" s="122">
        <f>IF(ISERROR(M73*$C$20/$C$16),0,M73*$C$20/$C$16)</f>
        <v>4</v>
      </c>
      <c r="S73" s="123">
        <f>IF(ISERROR(N73*$C$20/$C$16),0,N73*$C$20/$C$16)</f>
        <v>4</v>
      </c>
      <c r="T73" s="124">
        <f>IF(ISERROR(L73*$C$21/N86),0,L73*$C$21/N86)</f>
        <v>4</v>
      </c>
      <c r="U73" s="124">
        <f>IF(ISERROR(M73*$C$21/N86),0,M73*$C$21/N86)</f>
        <v>4</v>
      </c>
      <c r="V73" s="125">
        <f>IF(ISERROR(O73*$C$21/N86),0,O73*$C$21/N86)</f>
        <v>4</v>
      </c>
      <c r="W73" s="83"/>
      <c r="X73" s="83"/>
      <c r="Y73" s="83"/>
      <c r="Z73" s="83"/>
      <c r="AA73" s="83"/>
      <c r="AB73" s="83"/>
      <c r="AC73" s="83"/>
      <c r="AD73" s="83"/>
      <c r="AE73" s="83"/>
      <c r="AF73" s="83"/>
      <c r="AG73" s="83"/>
      <c r="AH73" s="83"/>
      <c r="AI73" s="83"/>
      <c r="AJ73" s="83"/>
      <c r="AK73" s="83"/>
      <c r="AL73" s="83"/>
      <c r="AM73" s="83"/>
    </row>
    <row r="74" spans="1:39" ht="12.75" outlineLevel="1">
      <c r="A74" s="119" t="s">
        <v>176</v>
      </c>
      <c r="B74" s="2" t="s">
        <v>671</v>
      </c>
      <c r="C74" s="2" t="s">
        <v>372</v>
      </c>
      <c r="D74" s="12"/>
      <c r="E74" s="12"/>
      <c r="F74" s="12"/>
      <c r="G74" s="12"/>
      <c r="H74" s="12"/>
      <c r="I74" s="12"/>
      <c r="J74" s="12"/>
      <c r="K74" s="12"/>
      <c r="L74" s="77">
        <v>4052000</v>
      </c>
      <c r="M74" s="12">
        <v>14748.48</v>
      </c>
      <c r="N74" s="77">
        <v>4516219.83</v>
      </c>
      <c r="O74" s="120">
        <v>19.6</v>
      </c>
      <c r="P74" s="120">
        <v>19.570574038205706</v>
      </c>
      <c r="Q74" s="121">
        <f>IF(ISERROR(L74*$C$20/$C$16),0,L74*$C$20/$C$16)</f>
        <v>4</v>
      </c>
      <c r="R74" s="122">
        <f>IF(ISERROR(M74*$C$20/$C$16),0,M74*$C$20/$C$16)</f>
        <v>4</v>
      </c>
      <c r="S74" s="123">
        <f>IF(ISERROR(N74*$C$20/$C$16),0,N74*$C$20/$C$16)</f>
        <v>4</v>
      </c>
      <c r="T74" s="124">
        <f>IF(ISERROR(L74*$C$21/N87),0,L74*$C$21/N87)</f>
        <v>4</v>
      </c>
      <c r="U74" s="124">
        <f>IF(ISERROR(M74*$C$21/N87),0,M74*$C$21/N87)</f>
        <v>4</v>
      </c>
      <c r="V74" s="125">
        <f>IF(ISERROR(O74*$C$21/N87),0,O74*$C$21/N87)</f>
        <v>4</v>
      </c>
      <c r="W74" s="83"/>
      <c r="X74" s="83"/>
      <c r="Y74" s="83"/>
      <c r="Z74" s="83"/>
      <c r="AA74" s="83"/>
      <c r="AB74" s="83"/>
      <c r="AC74" s="83"/>
      <c r="AD74" s="83"/>
      <c r="AE74" s="83"/>
      <c r="AF74" s="83"/>
      <c r="AG74" s="83"/>
      <c r="AH74" s="83"/>
      <c r="AI74" s="83"/>
      <c r="AJ74" s="83"/>
      <c r="AK74" s="83"/>
      <c r="AL74" s="83"/>
      <c r="AM74" s="83"/>
    </row>
    <row r="75" spans="1:39" ht="12.75" outlineLevel="1">
      <c r="A75" s="119" t="s">
        <v>189</v>
      </c>
      <c r="B75" s="2" t="s">
        <v>678</v>
      </c>
      <c r="C75" s="2"/>
      <c r="D75" s="12"/>
      <c r="E75" s="12"/>
      <c r="F75" s="12"/>
      <c r="G75" s="12"/>
      <c r="H75" s="12"/>
      <c r="I75" s="12"/>
      <c r="J75" s="12"/>
      <c r="K75" s="12"/>
      <c r="L75" s="77">
        <v>0</v>
      </c>
      <c r="M75" s="12">
        <v>0</v>
      </c>
      <c r="N75" s="77">
        <v>143.52</v>
      </c>
      <c r="O75" s="120">
        <v>0</v>
      </c>
      <c r="P75" s="120">
        <v>0.00062192915572875</v>
      </c>
      <c r="Q75" s="121">
        <f>IF(ISERROR(L75*$C$20/$C$16),0,L75*$C$20/$C$16)</f>
        <v>4</v>
      </c>
      <c r="R75" s="122">
        <f>IF(ISERROR(M75*$C$20/$C$16),0,M75*$C$20/$C$16)</f>
        <v>4</v>
      </c>
      <c r="S75" s="123">
        <f>IF(ISERROR(N75*$C$20/$C$16),0,N75*$C$20/$C$16)</f>
        <v>4</v>
      </c>
      <c r="T75" s="124">
        <f>IF(ISERROR(L75*$C$21/N88),0,L75*$C$21/N88)</f>
        <v>4</v>
      </c>
      <c r="U75" s="124">
        <f>IF(ISERROR(M75*$C$21/N88),0,M75*$C$21/N88)</f>
        <v>4</v>
      </c>
      <c r="V75" s="125">
        <f>IF(ISERROR(O75*$C$21/N88),0,O75*$C$21/N88)</f>
        <v>4</v>
      </c>
      <c r="W75" s="83"/>
      <c r="X75" s="83"/>
      <c r="Y75" s="83"/>
      <c r="Z75" s="83"/>
      <c r="AA75" s="83"/>
      <c r="AB75" s="83"/>
      <c r="AC75" s="83"/>
      <c r="AD75" s="83"/>
      <c r="AE75" s="83"/>
      <c r="AF75" s="83"/>
      <c r="AG75" s="83"/>
      <c r="AH75" s="83"/>
      <c r="AI75" s="83"/>
      <c r="AJ75" s="83"/>
      <c r="AK75" s="83"/>
      <c r="AL75" s="83"/>
      <c r="AM75" s="83"/>
    </row>
    <row r="76" spans="1:39" ht="12.75" outlineLevel="1">
      <c r="A76" s="119" t="s">
        <v>206</v>
      </c>
      <c r="B76" s="2" t="s">
        <v>685</v>
      </c>
      <c r="C76" s="2"/>
      <c r="D76" s="12"/>
      <c r="E76" s="12"/>
      <c r="F76" s="12"/>
      <c r="G76" s="12"/>
      <c r="H76" s="12"/>
      <c r="I76" s="12"/>
      <c r="J76" s="12"/>
      <c r="K76" s="12"/>
      <c r="L76" s="77">
        <v>0</v>
      </c>
      <c r="M76" s="12">
        <v>0</v>
      </c>
      <c r="N76" s="77">
        <v>7445.46</v>
      </c>
      <c r="O76" s="120">
        <v>0</v>
      </c>
      <c r="P76" s="120">
        <v>0.03226413497639497</v>
      </c>
      <c r="Q76" s="121">
        <f>IF(ISERROR(L76*$C$20/$C$16),0,L76*$C$20/$C$16)</f>
        <v>4</v>
      </c>
      <c r="R76" s="122">
        <f>IF(ISERROR(M76*$C$20/$C$16),0,M76*$C$20/$C$16)</f>
        <v>4</v>
      </c>
      <c r="S76" s="123">
        <f>IF(ISERROR(N76*$C$20/$C$16),0,N76*$C$20/$C$16)</f>
        <v>4</v>
      </c>
      <c r="T76" s="124">
        <f>IF(ISERROR(L76*$C$21/N89),0,L76*$C$21/N89)</f>
        <v>4</v>
      </c>
      <c r="U76" s="124">
        <f>IF(ISERROR(M76*$C$21/N89),0,M76*$C$21/N89)</f>
        <v>4</v>
      </c>
      <c r="V76" s="125">
        <f>IF(ISERROR(O76*$C$21/N89),0,O76*$C$21/N89)</f>
        <v>4</v>
      </c>
      <c r="W76" s="83"/>
      <c r="X76" s="83"/>
      <c r="Y76" s="83"/>
      <c r="Z76" s="83"/>
      <c r="AA76" s="83"/>
      <c r="AB76" s="83"/>
      <c r="AC76" s="83"/>
      <c r="AD76" s="83"/>
      <c r="AE76" s="83"/>
      <c r="AF76" s="83"/>
      <c r="AG76" s="83"/>
      <c r="AH76" s="83"/>
      <c r="AI76" s="83"/>
      <c r="AJ76" s="83"/>
      <c r="AK76" s="83"/>
      <c r="AL76" s="83"/>
      <c r="AM76" s="83"/>
    </row>
    <row r="77" spans="1:39" ht="12.75" outlineLevel="1">
      <c r="A77" s="119" t="s">
        <v>219</v>
      </c>
      <c r="B77" s="2" t="s">
        <v>692</v>
      </c>
      <c r="C77" s="2"/>
      <c r="D77" s="12"/>
      <c r="E77" s="12"/>
      <c r="F77" s="12"/>
      <c r="G77" s="12"/>
      <c r="H77" s="12"/>
      <c r="I77" s="12"/>
      <c r="J77" s="12"/>
      <c r="K77" s="12"/>
      <c r="L77" s="77">
        <v>0</v>
      </c>
      <c r="M77" s="12">
        <v>0</v>
      </c>
      <c r="N77" s="77">
        <v>358460.22</v>
      </c>
      <c r="O77" s="120">
        <v>1.6</v>
      </c>
      <c r="P77" s="120">
        <v>1.5533504876459259</v>
      </c>
      <c r="Q77" s="121">
        <f>IF(ISERROR(L77*$C$20/$C$16),0,L77*$C$20/$C$16)</f>
        <v>4</v>
      </c>
      <c r="R77" s="122">
        <f>IF(ISERROR(M77*$C$20/$C$16),0,M77*$C$20/$C$16)</f>
        <v>4</v>
      </c>
      <c r="S77" s="123">
        <f>IF(ISERROR(N77*$C$20/$C$16),0,N77*$C$20/$C$16)</f>
        <v>4</v>
      </c>
      <c r="T77" s="124">
        <f>IF(ISERROR(L77*$C$21/N90),0,L77*$C$21/N90)</f>
        <v>4</v>
      </c>
      <c r="U77" s="124">
        <f>IF(ISERROR(M77*$C$21/N90),0,M77*$C$21/N90)</f>
        <v>4</v>
      </c>
      <c r="V77" s="125">
        <f>IF(ISERROR(O77*$C$21/N90),0,O77*$C$21/N90)</f>
        <v>4</v>
      </c>
      <c r="W77" s="83"/>
      <c r="X77" s="83"/>
      <c r="Y77" s="83"/>
      <c r="Z77" s="83"/>
      <c r="AA77" s="83"/>
      <c r="AB77" s="83"/>
      <c r="AC77" s="83"/>
      <c r="AD77" s="83"/>
      <c r="AE77" s="83"/>
      <c r="AF77" s="83"/>
      <c r="AG77" s="83"/>
      <c r="AH77" s="83"/>
      <c r="AI77" s="83"/>
      <c r="AJ77" s="83"/>
      <c r="AK77" s="83"/>
      <c r="AL77" s="83"/>
      <c r="AM77" s="83"/>
    </row>
    <row r="78" spans="1:39" ht="12.75" outlineLevel="1">
      <c r="A78" s="119" t="s">
        <v>236</v>
      </c>
      <c r="B78" s="2" t="s">
        <v>699</v>
      </c>
      <c r="C78" s="2"/>
      <c r="D78" s="12"/>
      <c r="E78" s="12"/>
      <c r="F78" s="12"/>
      <c r="G78" s="12"/>
      <c r="H78" s="12"/>
      <c r="I78" s="12"/>
      <c r="J78" s="12"/>
      <c r="K78" s="12"/>
      <c r="L78" s="77">
        <v>0</v>
      </c>
      <c r="M78" s="12">
        <v>0</v>
      </c>
      <c r="N78" s="77">
        <v>-1998.16</v>
      </c>
      <c r="O78" s="120">
        <v>0</v>
      </c>
      <c r="P78" s="120">
        <v>-0.008658820804145529</v>
      </c>
      <c r="Q78" s="121">
        <f>IF(ISERROR(L78*$C$20/$C$16),0,L78*$C$20/$C$16)</f>
        <v>4</v>
      </c>
      <c r="R78" s="122">
        <f>IF(ISERROR(M78*$C$20/$C$16),0,M78*$C$20/$C$16)</f>
        <v>4</v>
      </c>
      <c r="S78" s="123">
        <f>IF(ISERROR(N78*$C$20/$C$16),0,N78*$C$20/$C$16)</f>
        <v>4</v>
      </c>
      <c r="T78" s="124">
        <f>IF(ISERROR(L78*$C$21/N91),0,L78*$C$21/N91)</f>
        <v>4</v>
      </c>
      <c r="U78" s="124">
        <f>IF(ISERROR(M78*$C$21/N91),0,M78*$C$21/N91)</f>
        <v>4</v>
      </c>
      <c r="V78" s="125">
        <f>IF(ISERROR(O78*$C$21/N91),0,O78*$C$21/N91)</f>
        <v>4</v>
      </c>
      <c r="W78" s="83"/>
      <c r="X78" s="83"/>
      <c r="Y78" s="83"/>
      <c r="Z78" s="83"/>
      <c r="AA78" s="83"/>
      <c r="AB78" s="83"/>
      <c r="AC78" s="83"/>
      <c r="AD78" s="83"/>
      <c r="AE78" s="83"/>
      <c r="AF78" s="83"/>
      <c r="AG78" s="83"/>
      <c r="AH78" s="83"/>
      <c r="AI78" s="83"/>
      <c r="AJ78" s="83"/>
      <c r="AK78" s="83"/>
      <c r="AL78" s="83"/>
      <c r="AM78" s="83"/>
    </row>
    <row r="79" spans="1:39" ht="12.75" outlineLevel="1">
      <c r="A79" s="119"/>
      <c r="B79" s="2" t="s">
        <v>616</v>
      </c>
      <c r="C79" s="12"/>
      <c r="D79" s="12"/>
      <c r="E79" s="12"/>
      <c r="F79" s="12"/>
      <c r="G79" s="12"/>
      <c r="H79" s="12"/>
      <c r="I79" s="12"/>
      <c r="J79" s="12"/>
      <c r="K79" s="12"/>
      <c r="L79" s="12"/>
      <c r="M79" s="12"/>
      <c r="N79" s="77">
        <v>204154.29</v>
      </c>
      <c r="O79" s="120">
        <v>0.9</v>
      </c>
      <c r="P79" s="120">
        <v>0.8846816138403781</v>
      </c>
      <c r="Q79" s="126"/>
      <c r="R79" s="127"/>
      <c r="S79" s="128"/>
      <c r="T79" s="124"/>
      <c r="U79" s="124"/>
      <c r="V79" s="125"/>
      <c r="W79" s="83"/>
      <c r="X79" s="83"/>
      <c r="Y79" s="83"/>
      <c r="Z79" s="83"/>
      <c r="AA79" s="83"/>
      <c r="AB79" s="83"/>
      <c r="AC79" s="83"/>
      <c r="AD79" s="83"/>
      <c r="AE79" s="83"/>
      <c r="AF79" s="83"/>
      <c r="AG79" s="83"/>
      <c r="AH79" s="83"/>
      <c r="AI79" s="83"/>
      <c r="AJ79" s="83"/>
      <c r="AK79" s="83"/>
      <c r="AL79" s="83"/>
      <c r="AM79" s="83"/>
    </row>
    <row r="80" spans="1:39" ht="12.75" outlineLevel="1">
      <c r="A80" s="114"/>
      <c r="B80" s="129"/>
      <c r="C80" s="130"/>
      <c r="D80" s="130"/>
      <c r="E80" s="130"/>
      <c r="F80" s="130"/>
      <c r="G80" s="130"/>
      <c r="H80" s="130"/>
      <c r="I80" s="130"/>
      <c r="J80" s="130"/>
      <c r="K80" s="130"/>
      <c r="L80" s="130"/>
      <c r="M80" s="130"/>
      <c r="N80" s="130"/>
      <c r="O80" s="130"/>
      <c r="P80" s="131"/>
      <c r="Q80" s="116"/>
      <c r="R80" s="112"/>
      <c r="S80" s="117"/>
      <c r="T80" s="118"/>
      <c r="U80" s="118"/>
      <c r="V80" s="117"/>
      <c r="W80" s="83"/>
      <c r="X80" s="83"/>
      <c r="Y80" s="83"/>
      <c r="Z80" s="83"/>
      <c r="AA80" s="83"/>
      <c r="AB80" s="83"/>
      <c r="AC80" s="83"/>
      <c r="AD80" s="83"/>
      <c r="AE80" s="83"/>
      <c r="AF80" s="83"/>
      <c r="AG80" s="83"/>
      <c r="AH80" s="83"/>
      <c r="AI80" s="83"/>
      <c r="AJ80" s="83"/>
      <c r="AK80" s="83"/>
      <c r="AL80" s="83"/>
      <c r="AM80" s="83"/>
    </row>
    <row r="81" spans="1:39" ht="13.5" customHeight="1" outlineLevel="1">
      <c r="A81" s="84"/>
      <c r="B81" s="85" t="s">
        <v>618</v>
      </c>
      <c r="C81" s="84"/>
      <c r="D81" s="84"/>
      <c r="E81" s="84"/>
      <c r="F81" s="84"/>
      <c r="G81" s="84"/>
      <c r="H81" s="84"/>
      <c r="I81" s="84"/>
      <c r="J81" s="84"/>
      <c r="K81" s="84"/>
      <c r="L81" s="84">
        <f>SUM(L68:L80)</f>
        <v>4</v>
      </c>
      <c r="M81" s="84">
        <f>SUM(M68:M80)</f>
        <v>4</v>
      </c>
      <c r="N81" s="84">
        <f>SUM(N68:N80)</f>
        <v>4</v>
      </c>
      <c r="O81" s="84"/>
      <c r="P81" s="84">
        <f>SUM(P68:P80)</f>
        <v>4</v>
      </c>
      <c r="Q81" s="132">
        <f>SUM(Q68:Q80)</f>
        <v>4</v>
      </c>
      <c r="R81" s="84">
        <f>SUM(R68:R80)</f>
        <v>4</v>
      </c>
      <c r="S81" s="133">
        <f>SUM(S68:S80)</f>
        <v>4</v>
      </c>
      <c r="T81" s="84">
        <f>SUM(T68:T80)</f>
        <v>4</v>
      </c>
      <c r="U81" s="84">
        <f>SUM(U68:U80)</f>
        <v>4</v>
      </c>
      <c r="V81" s="133">
        <f>SUM(V68:V80)</f>
        <v>4</v>
      </c>
      <c r="W81" s="83"/>
      <c r="X81" s="83"/>
      <c r="Y81" s="83"/>
      <c r="Z81" s="83"/>
      <c r="AA81" s="83"/>
      <c r="AB81" s="83"/>
      <c r="AC81" s="83"/>
      <c r="AD81" s="83"/>
      <c r="AE81" s="83"/>
      <c r="AF81" s="83"/>
      <c r="AG81" s="83"/>
      <c r="AH81" s="83"/>
      <c r="AI81" s="83"/>
      <c r="AJ81" s="83"/>
      <c r="AK81" s="83"/>
      <c r="AL81" s="83"/>
      <c r="AM81" s="83"/>
    </row>
    <row r="82" spans="1:39" ht="18" customHeight="1" outlineLevel="1">
      <c r="A82" s="1"/>
      <c r="B82" s="134" t="s">
        <v>0</v>
      </c>
      <c r="C82" s="83"/>
      <c r="D82" s="83"/>
      <c r="E82" s="83"/>
      <c r="F82" s="83"/>
      <c r="G82" s="92"/>
      <c r="H82" s="92"/>
      <c r="I82" s="92"/>
      <c r="J82" s="83"/>
      <c r="K82" s="92"/>
      <c r="L82" s="92"/>
      <c r="M82" s="92"/>
      <c r="N82" s="83"/>
      <c r="O82" s="83"/>
      <c r="P82" s="92"/>
      <c r="Q82" s="92"/>
      <c r="R82" s="92"/>
      <c r="S82" s="92"/>
      <c r="T82" s="92"/>
      <c r="U82" s="92"/>
      <c r="V82" s="83"/>
      <c r="W82" s="83"/>
      <c r="X82" s="83"/>
      <c r="Y82" s="83"/>
      <c r="Z82" s="83"/>
      <c r="AA82" s="83"/>
      <c r="AB82" s="83"/>
      <c r="AC82" s="83"/>
      <c r="AD82" s="83"/>
      <c r="AE82" s="83"/>
      <c r="AF82" s="83"/>
      <c r="AG82" s="83"/>
      <c r="AH82" s="83"/>
      <c r="AI82" s="83"/>
      <c r="AJ82" s="83"/>
      <c r="AK82" s="83"/>
      <c r="AL82" s="83"/>
      <c r="AM82" s="83"/>
    </row>
    <row r="83" spans="1:39" ht="18" customHeight="1" outlineLevel="1">
      <c r="A83" s="1"/>
      <c r="B83" s="134" t="s">
        <v>716</v>
      </c>
      <c r="C83" s="83"/>
      <c r="D83" s="83"/>
      <c r="E83" s="83"/>
      <c r="F83" s="83"/>
      <c r="G83" s="92"/>
      <c r="H83" s="92"/>
      <c r="I83" s="92"/>
      <c r="J83" s="83"/>
      <c r="K83" s="92"/>
      <c r="L83" s="92"/>
      <c r="M83" s="92"/>
      <c r="N83" s="83"/>
      <c r="O83" s="83"/>
      <c r="P83" s="92"/>
      <c r="Q83" s="92"/>
      <c r="R83" s="92"/>
      <c r="S83" s="92"/>
      <c r="T83" s="92"/>
      <c r="U83" s="92"/>
      <c r="V83" s="83"/>
      <c r="W83" s="83"/>
      <c r="X83" s="83"/>
      <c r="Y83" s="83"/>
      <c r="Z83" s="83"/>
      <c r="AA83" s="83"/>
      <c r="AB83" s="83"/>
      <c r="AC83" s="83"/>
      <c r="AD83" s="83"/>
      <c r="AE83" s="83"/>
      <c r="AF83" s="83"/>
      <c r="AG83" s="83"/>
      <c r="AH83" s="83"/>
      <c r="AI83" s="83"/>
      <c r="AJ83" s="83"/>
      <c r="AK83" s="83"/>
      <c r="AL83" s="83"/>
      <c r="AM83" s="83"/>
    </row>
    <row r="84" spans="1:39" ht="18" customHeight="1" outlineLevel="1">
      <c r="A84" s="1"/>
      <c r="B84" s="134" t="s">
        <v>0</v>
      </c>
      <c r="C84" s="83"/>
      <c r="D84" s="83"/>
      <c r="E84" s="83"/>
      <c r="F84" s="83"/>
      <c r="G84" s="92"/>
      <c r="H84" s="92"/>
      <c r="I84" s="92"/>
      <c r="J84" s="83"/>
      <c r="K84" s="92"/>
      <c r="L84" s="92"/>
      <c r="M84" s="92"/>
      <c r="N84" s="83"/>
      <c r="O84" s="83"/>
      <c r="P84" s="92"/>
      <c r="Q84" s="92"/>
      <c r="R84" s="92"/>
      <c r="S84" s="92"/>
      <c r="T84" s="92"/>
      <c r="U84" s="92"/>
      <c r="V84" s="83"/>
      <c r="W84" s="83"/>
      <c r="X84" s="83"/>
      <c r="Y84" s="83"/>
      <c r="Z84" s="83"/>
      <c r="AA84" s="83"/>
      <c r="AB84" s="83"/>
      <c r="AC84" s="83"/>
      <c r="AD84" s="83"/>
      <c r="AE84" s="83"/>
      <c r="AF84" s="83"/>
      <c r="AG84" s="83"/>
      <c r="AH84" s="83"/>
      <c r="AI84" s="83"/>
      <c r="AJ84" s="83"/>
      <c r="AK84" s="83"/>
      <c r="AL84" s="83"/>
      <c r="AM84" s="83"/>
    </row>
    <row r="85" spans="1:39" ht="18" customHeight="1" outlineLevel="1">
      <c r="A85" s="1"/>
      <c r="B85" s="134" t="s">
        <v>717</v>
      </c>
      <c r="C85" s="83"/>
      <c r="D85" s="83"/>
      <c r="E85" s="83"/>
      <c r="F85" s="83"/>
      <c r="G85" s="92"/>
      <c r="H85" s="92"/>
      <c r="I85" s="92"/>
      <c r="J85" s="83"/>
      <c r="K85" s="92"/>
      <c r="L85" s="92"/>
      <c r="M85" s="92"/>
      <c r="N85" s="83"/>
      <c r="O85" s="83"/>
      <c r="P85" s="92"/>
      <c r="Q85" s="92"/>
      <c r="R85" s="92"/>
      <c r="S85" s="92"/>
      <c r="T85" s="92"/>
      <c r="U85" s="92"/>
      <c r="V85" s="83"/>
      <c r="W85" s="83"/>
      <c r="X85" s="83"/>
      <c r="Y85" s="83"/>
      <c r="Z85" s="83"/>
      <c r="AA85" s="83"/>
      <c r="AB85" s="83"/>
      <c r="AC85" s="83"/>
      <c r="AD85" s="83"/>
      <c r="AE85" s="83"/>
      <c r="AF85" s="83"/>
      <c r="AG85" s="83"/>
      <c r="AH85" s="83"/>
      <c r="AI85" s="83"/>
      <c r="AJ85" s="83"/>
      <c r="AK85" s="83"/>
      <c r="AL85" s="83"/>
      <c r="AM85" s="83"/>
    </row>
    <row r="86" spans="1:39" ht="36.75" customHeight="1" outlineLevel="1">
      <c r="A86" s="135"/>
      <c r="B86" s="136" t="s">
        <v>718</v>
      </c>
      <c r="C86" s="137"/>
      <c r="D86" s="137"/>
      <c r="E86" s="137"/>
      <c r="F86" s="137"/>
      <c r="G86" s="137"/>
      <c r="H86" s="137"/>
      <c r="I86" s="137"/>
      <c r="J86" s="137"/>
      <c r="K86" s="137"/>
      <c r="L86" s="137"/>
      <c r="M86" s="137"/>
      <c r="N86" s="137"/>
      <c r="O86" s="137"/>
      <c r="P86" s="138"/>
      <c r="Q86" s="139"/>
      <c r="R86" s="139"/>
      <c r="S86" s="92"/>
      <c r="T86" s="92"/>
      <c r="U86" s="92"/>
      <c r="V86" s="83"/>
      <c r="W86" s="83"/>
      <c r="X86" s="83"/>
      <c r="Y86" s="83"/>
      <c r="Z86" s="83"/>
      <c r="AA86" s="83"/>
      <c r="AB86" s="83"/>
      <c r="AC86" s="83"/>
      <c r="AD86" s="83"/>
      <c r="AE86" s="83"/>
      <c r="AF86" s="83"/>
      <c r="AG86" s="83"/>
      <c r="AH86" s="83"/>
      <c r="AI86" s="83"/>
      <c r="AJ86" s="83"/>
      <c r="AK86" s="83"/>
      <c r="AL86" s="83"/>
      <c r="AM86" s="83"/>
    </row>
    <row r="87" spans="1:39" ht="25.5" customHeight="1" outlineLevel="1">
      <c r="A87" s="135"/>
      <c r="B87" s="140" t="s">
        <v>719</v>
      </c>
      <c r="C87" s="3"/>
      <c r="D87" s="3"/>
      <c r="E87" s="3"/>
      <c r="F87" s="3"/>
      <c r="G87" s="4"/>
      <c r="H87" s="4"/>
      <c r="I87" s="4"/>
      <c r="J87" s="3"/>
      <c r="K87" s="4"/>
      <c r="L87" s="4"/>
      <c r="M87" s="4"/>
      <c r="N87" s="3"/>
      <c r="O87" s="3"/>
      <c r="P87" s="4"/>
      <c r="Q87" s="139"/>
      <c r="R87" s="139"/>
      <c r="S87" s="92"/>
      <c r="T87" s="92"/>
      <c r="U87" s="92"/>
      <c r="V87" s="83"/>
      <c r="W87" s="83"/>
      <c r="X87" s="83"/>
      <c r="Y87" s="83"/>
      <c r="Z87" s="83"/>
      <c r="AA87" s="83"/>
      <c r="AB87" s="83"/>
      <c r="AC87" s="83"/>
      <c r="AD87" s="83"/>
      <c r="AE87" s="83"/>
      <c r="AF87" s="83"/>
      <c r="AG87" s="83"/>
      <c r="AH87" s="83"/>
      <c r="AI87" s="83"/>
      <c r="AJ87" s="83"/>
      <c r="AK87" s="83"/>
      <c r="AL87" s="83"/>
      <c r="AM87" s="83"/>
    </row>
    <row r="88" spans="1:39" ht="45" customHeight="1" outlineLevel="1">
      <c r="A88" s="135"/>
      <c r="B88" s="141" t="s">
        <v>720</v>
      </c>
      <c r="C88" s="142"/>
      <c r="D88" s="142"/>
      <c r="E88" s="142"/>
      <c r="F88" s="142"/>
      <c r="G88" s="142"/>
      <c r="H88" s="142"/>
      <c r="I88" s="142"/>
      <c r="J88" s="142"/>
      <c r="K88" s="142"/>
      <c r="L88" s="142"/>
      <c r="M88" s="142"/>
      <c r="N88" s="142"/>
      <c r="O88" s="142"/>
      <c r="P88" s="143"/>
      <c r="Q88" s="139"/>
      <c r="R88" s="139"/>
      <c r="S88" s="92"/>
      <c r="T88" s="92"/>
      <c r="U88" s="92"/>
      <c r="V88" s="83"/>
      <c r="W88" s="83"/>
      <c r="X88" s="83"/>
      <c r="Y88" s="83"/>
      <c r="Z88" s="83"/>
      <c r="AA88" s="83"/>
      <c r="AB88" s="83"/>
      <c r="AC88" s="83"/>
      <c r="AD88" s="83"/>
      <c r="AE88" s="83"/>
      <c r="AF88" s="83"/>
      <c r="AG88" s="83"/>
      <c r="AH88" s="83"/>
      <c r="AI88" s="83"/>
      <c r="AJ88" s="83"/>
      <c r="AK88" s="83"/>
      <c r="AL88" s="83"/>
      <c r="AM88" s="83"/>
    </row>
  </sheetData>
  <mergeCells count="37">
    <mergeCell ref="A23:A24"/>
    <mergeCell ref="B23:B24"/>
    <mergeCell ref="C23:C24"/>
    <mergeCell ref="D23:D24"/>
    <mergeCell ref="E23:E24"/>
    <mergeCell ref="F23:F24"/>
    <mergeCell ref="G23:G24"/>
    <mergeCell ref="H23:H24"/>
    <mergeCell ref="O23:P23"/>
    <mergeCell ref="A65:A66"/>
    <mergeCell ref="B65:B66"/>
    <mergeCell ref="C65:C66"/>
    <mergeCell ref="D65:D66"/>
    <mergeCell ref="E65:E66"/>
    <mergeCell ref="F65:F66"/>
    <mergeCell ref="G65:G66"/>
    <mergeCell ref="H65:H66"/>
    <mergeCell ref="O65:P65"/>
    <mergeCell ref="W65:W81"/>
    <mergeCell ref="X65:X81"/>
    <mergeCell ref="Y65:Y81"/>
    <mergeCell ref="Z65:Z81"/>
    <mergeCell ref="AA65:AA81"/>
    <mergeCell ref="AB65:AB81"/>
    <mergeCell ref="AC65:AC81"/>
    <mergeCell ref="AD65:AD81"/>
    <mergeCell ref="AE65:AE81"/>
    <mergeCell ref="AF65:AF81"/>
    <mergeCell ref="AG65:AG81"/>
    <mergeCell ref="AH65:AH81"/>
    <mergeCell ref="AI65:AI81"/>
    <mergeCell ref="AJ65:AJ81"/>
    <mergeCell ref="AK65:AK81"/>
    <mergeCell ref="AL65:AL81"/>
    <mergeCell ref="AM65:AM81"/>
    <mergeCell ref="B86:P86"/>
    <mergeCell ref="B88:P88"/>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