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E000ETFL219" sheetId="1" r:id="rId1"/>
  </sheets>
  <definedNames>
    <definedName name="__bookmark_2">'DE000ETFL219'!$A$45:$V$53</definedName>
    <definedName name="__bookmark_1">'DE000ETFL219'!$A$1:$AM$60</definedName>
  </definedNames>
  <calcPr fullCalcOnLoad="1"/>
</workbook>
</file>

<file path=xl/sharedStrings.xml><?xml version="1.0" encoding="utf-8"?>
<sst xmlns="http://schemas.openxmlformats.org/spreadsheetml/2006/main" count="280" uniqueCount="343">
  <si>
    <t/>
  </si>
  <si>
    <t>Deka Investment GmbH</t>
  </si>
  <si>
    <t>Zusammensetzung des Fondsvermögens vom 17.03.2017</t>
  </si>
  <si>
    <t>Die Mitteilung erfolgt in Anwendung des § 6 GroMiKV.</t>
  </si>
  <si>
    <t>Kreditnehmerergänzungsschlüssel Fonds gem. § 6 Abs. 2 Satz 1 Nr. 1 – 4 GroMiKV:</t>
  </si>
  <si>
    <t>Nichtanrechnung</t>
  </si>
  <si>
    <t>212</t>
  </si>
  <si>
    <t>Anrechnung</t>
  </si>
  <si>
    <t>312</t>
  </si>
  <si>
    <t>Deka Deutsche Boerse EUROGOV(R) Germany 10+ UCITS ETF</t>
  </si>
  <si>
    <t>ISIN</t>
  </si>
  <si>
    <t>DE000ETFL219</t>
  </si>
  <si>
    <t>Bloomberg</t>
  </si>
  <si>
    <t>ETFGS10 GY</t>
  </si>
  <si>
    <t>Reuters RIC</t>
  </si>
  <si>
    <t>ETFGS10.DE</t>
  </si>
  <si>
    <t>Fondswährung</t>
  </si>
  <si>
    <t>EUR</t>
  </si>
  <si>
    <t>Anzahl ausstehender Anteile</t>
  </si>
  <si>
    <t>Barbestand (EUR)</t>
  </si>
  <si>
    <t>Stückzins (EUR)</t>
  </si>
  <si>
    <t>Barbestand pro Anteil (EUR)</t>
  </si>
  <si>
    <t>Anzahl gehaltene Fondsanteile</t>
  </si>
  <si>
    <t>0</t>
  </si>
  <si>
    <t>Investitionsvolumen / Buchwert</t>
  </si>
  <si>
    <t>Kennzahlen Einzeltitel</t>
  </si>
  <si>
    <t>Gehaltene Anteile in Feld C20 eintragen</t>
  </si>
  <si>
    <t>Investitionsvolumen in Feld C21 eintragen</t>
  </si>
  <si>
    <t>Name</t>
  </si>
  <si>
    <t>Emittenten-ID</t>
  </si>
  <si>
    <t>Emittenten-Name</t>
  </si>
  <si>
    <t>Land</t>
  </si>
  <si>
    <t>Aufgelaufene Stückzinstage</t>
  </si>
  <si>
    <t>Kurs (EUR)</t>
  </si>
  <si>
    <t>WP-Währung</t>
  </si>
  <si>
    <t>WP-Art</t>
  </si>
  <si>
    <t>Nominalbestand</t>
  </si>
  <si>
    <t>Stückzinsforderungen</t>
  </si>
  <si>
    <t>Bestand</t>
  </si>
  <si>
    <t>Bestand (%)</t>
  </si>
  <si>
    <t>Nominale pro gehaltene Anteile</t>
  </si>
  <si>
    <t>Stückzins pro gehaltene Anteile</t>
  </si>
  <si>
    <t>Bestand pro gehaltene Anteile</t>
  </si>
  <si>
    <t>Nominale gemäß Investitions-volumen</t>
  </si>
  <si>
    <t>Stückzins gemäß Investitions-volumen</t>
  </si>
  <si>
    <t>Bestand gemäß Investitions-volumen</t>
  </si>
  <si>
    <t>WPL: Nominale pro gehaltene Anteile</t>
  </si>
  <si>
    <t>WPL: Stückzins pro gehaltene Anteile</t>
  </si>
  <si>
    <t>WPL: Bestand pro gehaltene Anteile</t>
  </si>
  <si>
    <t>WPL: Nominale gemäß Investitions-volumen</t>
  </si>
  <si>
    <t>WPL: Stückzins gemäß Investitions-volumen</t>
  </si>
  <si>
    <t>WPL: Bestand gemäß Investitions-volumen</t>
  </si>
  <si>
    <t>Emissionsdatum</t>
  </si>
  <si>
    <t>Endfälligkeit</t>
  </si>
  <si>
    <t>Restlaufzeit</t>
  </si>
  <si>
    <t>Kupon</t>
  </si>
  <si>
    <t>Anzahl Kuponzahlungen</t>
  </si>
  <si>
    <t>Rendite</t>
  </si>
  <si>
    <t>Duration</t>
  </si>
  <si>
    <t>Modified Duration</t>
  </si>
  <si>
    <t>Konvexität</t>
  </si>
  <si>
    <t>WP-Branche</t>
  </si>
  <si>
    <t>17.03.2017</t>
  </si>
  <si>
    <t>(EUR)</t>
  </si>
  <si>
    <t>gerundet</t>
  </si>
  <si>
    <t>exakt</t>
  </si>
  <si>
    <t>(Datum)</t>
  </si>
  <si>
    <t>(Jahre)</t>
  </si>
  <si>
    <t>(%)</t>
  </si>
  <si>
    <t>(pro Jahr)</t>
  </si>
  <si>
    <t>1</t>
  </si>
  <si>
    <t>DEUTSCHLAND REP 2.5% 14-15/08/2046</t>
  </si>
  <si>
    <t>DE0001102341</t>
  </si>
  <si>
    <t>DE1102341=TWEB</t>
  </si>
  <si>
    <t>Bundesrep.Deutschland</t>
  </si>
  <si>
    <t>Deutschland</t>
  </si>
  <si>
    <t>Rentenpapier</t>
  </si>
  <si>
    <t>=WENN(ODER(ISTFEHLER(L25*$C$20/$C$16),IDENTISCH(TEIL(B25,1,4),"WPL:")),0,L25*$C$20/$C$16)</t>
  </si>
  <si>
    <t>=WENN(ODER(ISTFEHLER(M25*$C$20/$C$16),IDENTISCH(TEIL(B25,1,4),"WPL:")),0,M25*$C$20/$C$16)</t>
  </si>
  <si>
    <t>=WENN(ODER(ISTFEHLER(N25*$C$20/$C$16),IDENTISCH(TEIL(B25,1,4),"WPL:")),0,N25*$C$20/$C$16)</t>
  </si>
  <si>
    <t>=WENN(ODER(ISTFEHLER(L25*$C$21/N40),IDENTISCH(TEIL(B25,1,4),"WPL:")),0,L25*$C$21/N40)</t>
  </si>
  <si>
    <t>=WENN(ODER(ISTFEHLER(M25*$C$21/N40),IDENTISCH(TEIL(B25,1,4),"WPL:")),0,M25*$C$21/N40)</t>
  </si>
  <si>
    <t>=WENN(ODER(ISTFEHLER(M25*$C$20),IDENTISCH(TEIL(B25,1,4),"WPL:")),0,N25*$C$21/N40)</t>
  </si>
  <si>
    <t>=WENN(ODER(ISTFEHLER(L25*$C$20/$C$16),TEIL(B25,1,4)&lt;&gt;"WPL:"),0,L25*$C$20/$C$16)</t>
  </si>
  <si>
    <t>=WENN(ODER(ISTFEHLER(50811.92*$C$21/N40),TEIL(B25,1,4)&lt;&gt;"WPL:"),0,50811.92*$C$21/N40)</t>
  </si>
  <si>
    <t>=WENN(ODER(ISTFEHLER(4571663.39*$C$20/$C$16),TEIL(B25,1,4)&lt;&gt;"WPL:"),0,4571663.39*$C$20/$C$16)</t>
  </si>
  <si>
    <t>=WENN(ODER(ISTFEHLER(L25*$C$21/N40),TEIL(B25,1,4)&lt;&gt;"WPL:"),0,L25*$C$21/N40)</t>
  </si>
  <si>
    <t>=WENN(ODER(ISTFEHLER(4571663.39*$C$20),TEIL(B25,1,4)&lt;&gt;"WPL:"),0,4571663.39*$C$21/N40)</t>
  </si>
  <si>
    <t xml:space="preserve">28.02.2014                    </t>
  </si>
  <si>
    <t xml:space="preserve">15.08.2046                    </t>
  </si>
  <si>
    <t>öffentliche Anleihen</t>
  </si>
  <si>
    <t>2</t>
  </si>
  <si>
    <t>DEUTSCHLAND REP 0.25% 17-15/02/2027</t>
  </si>
  <si>
    <t>DE0001102416</t>
  </si>
  <si>
    <t>DE1102416=TWEB</t>
  </si>
  <si>
    <t>=WENN(ODER(ISTFEHLER(L26*$C$20/$C$16),IDENTISCH(TEIL(B26,1,4),"WPL:")),0,L26*$C$20/$C$16)</t>
  </si>
  <si>
    <t>=WENN(ODER(ISTFEHLER(M26*$C$20/$C$16),IDENTISCH(TEIL(B26,1,4),"WPL:")),0,M26*$C$20/$C$16)</t>
  </si>
  <si>
    <t>=WENN(ODER(ISTFEHLER(N26*$C$20/$C$16),IDENTISCH(TEIL(B26,1,4),"WPL:")),0,N26*$C$20/$C$16)</t>
  </si>
  <si>
    <t>=WENN(ODER(ISTFEHLER(L26*$C$21/N40),IDENTISCH(TEIL(B26,1,4),"WPL:")),0,L26*$C$21/N40)</t>
  </si>
  <si>
    <t>=WENN(ODER(ISTFEHLER(M26*$C$21/N40),IDENTISCH(TEIL(B26,1,4),"WPL:")),0,M26*$C$21/N40)</t>
  </si>
  <si>
    <t>=WENN(ODER(ISTFEHLER(M26*$C$20),IDENTISCH(TEIL(B26,1,4),"WPL:")),0,N26*$C$21/N40)</t>
  </si>
  <si>
    <t>=WENN(ODER(ISTFEHLER(L26*$C$20/$C$16),TEIL(B26,1,4)&lt;&gt;"WPL:"),0,L26*$C$20/$C$16)</t>
  </si>
  <si>
    <t>=WENN(ODER(ISTFEHLER(390.53*$C$21/N40),TEIL(B26,1,4)&lt;&gt;"WPL:"),0,390.53*$C$21/N40)</t>
  </si>
  <si>
    <t>=WENN(ODER(ISTFEHLER(836481.01*$C$20/$C$16),TEIL(B26,1,4)&lt;&gt;"WPL:"),0,836481.01*$C$20/$C$16)</t>
  </si>
  <si>
    <t>=WENN(ODER(ISTFEHLER(L26*$C$21/N40),TEIL(B26,1,4)&lt;&gt;"WPL:"),0,L26*$C$21/N40)</t>
  </si>
  <si>
    <t>=WENN(ODER(ISTFEHLER(836481.01*$C$20),TEIL(B26,1,4)&lt;&gt;"WPL:"),0,836481.01*$C$21/N40)</t>
  </si>
  <si>
    <t xml:space="preserve">13.01.2017                    </t>
  </si>
  <si>
    <t xml:space="preserve">15.02.2027                    </t>
  </si>
  <si>
    <t>3</t>
  </si>
  <si>
    <t>DEUTSCHLAND REP 6.5% 97-04/07/2027</t>
  </si>
  <si>
    <t>DE0001135044</t>
  </si>
  <si>
    <t>DE1135044=TWEB</t>
  </si>
  <si>
    <t>=WENN(ODER(ISTFEHLER(L27*$C$20/$C$16),IDENTISCH(TEIL(B27,1,4),"WPL:")),0,L27*$C$20/$C$16)</t>
  </si>
  <si>
    <t>=WENN(ODER(ISTFEHLER(M27*$C$20/$C$16),IDENTISCH(TEIL(B27,1,4),"WPL:")),0,M27*$C$20/$C$16)</t>
  </si>
  <si>
    <t>=WENN(ODER(ISTFEHLER(N27*$C$20/$C$16),IDENTISCH(TEIL(B27,1,4),"WPL:")),0,N27*$C$20/$C$16)</t>
  </si>
  <si>
    <t>=WENN(ODER(ISTFEHLER(L27*$C$21/N40),IDENTISCH(TEIL(B27,1,4),"WPL:")),0,L27*$C$21/N40)</t>
  </si>
  <si>
    <t>=WENN(ODER(ISTFEHLER(M27*$C$21/N40),IDENTISCH(TEIL(B27,1,4),"WPL:")),0,M27*$C$21/N40)</t>
  </si>
  <si>
    <t>=WENN(ODER(ISTFEHLER(M27*$C$20),IDENTISCH(TEIL(B27,1,4),"WPL:")),0,N27*$C$21/N40)</t>
  </si>
  <si>
    <t>=WENN(ODER(ISTFEHLER(L27*$C$20/$C$16),TEIL(B27,1,4)&lt;&gt;"WPL:"),0,L27*$C$20/$C$16)</t>
  </si>
  <si>
    <t>=WENN(ODER(ISTFEHLER(88620.82*$C$21/N40),TEIL(B27,1,4)&lt;&gt;"WPL:"),0,88620.82*$C$21/N40)</t>
  </si>
  <si>
    <t>=WENN(ODER(ISTFEHLER(3177816.82*$C$20/$C$16),TEIL(B27,1,4)&lt;&gt;"WPL:"),0,3177816.82*$C$20/$C$16)</t>
  </si>
  <si>
    <t>=WENN(ODER(ISTFEHLER(L27*$C$21/N40),TEIL(B27,1,4)&lt;&gt;"WPL:"),0,L27*$C$21/N40)</t>
  </si>
  <si>
    <t>=WENN(ODER(ISTFEHLER(3177816.82*$C$20),TEIL(B27,1,4)&lt;&gt;"WPL:"),0,3177816.82*$C$21/N40)</t>
  </si>
  <si>
    <t xml:space="preserve">04.07.1997                    </t>
  </si>
  <si>
    <t xml:space="preserve">04.07.2027                    </t>
  </si>
  <si>
    <t>4</t>
  </si>
  <si>
    <t>DEUTSCHLAND REP 5.625% 98-04/01/2028</t>
  </si>
  <si>
    <t>DE0001135069</t>
  </si>
  <si>
    <t>DE1135069=TWEB</t>
  </si>
  <si>
    <t>=WENN(ODER(ISTFEHLER(L28*$C$20/$C$16),IDENTISCH(TEIL(B28,1,4),"WPL:")),0,L28*$C$20/$C$16)</t>
  </si>
  <si>
    <t>=WENN(ODER(ISTFEHLER(M28*$C$20/$C$16),IDENTISCH(TEIL(B28,1,4),"WPL:")),0,M28*$C$20/$C$16)</t>
  </si>
  <si>
    <t>=WENN(ODER(ISTFEHLER(N28*$C$20/$C$16),IDENTISCH(TEIL(B28,1,4),"WPL:")),0,N28*$C$20/$C$16)</t>
  </si>
  <si>
    <t>=WENN(ODER(ISTFEHLER(L28*$C$21/N40),IDENTISCH(TEIL(B28,1,4),"WPL:")),0,L28*$C$21/N40)</t>
  </si>
  <si>
    <t>=WENN(ODER(ISTFEHLER(M28*$C$21/N40),IDENTISCH(TEIL(B28,1,4),"WPL:")),0,M28*$C$21/N40)</t>
  </si>
  <si>
    <t>=WENN(ODER(ISTFEHLER(M28*$C$20),IDENTISCH(TEIL(B28,1,4),"WPL:")),0,N28*$C$21/N40)</t>
  </si>
  <si>
    <t>=WENN(ODER(ISTFEHLER(L28*$C$20/$C$16),TEIL(B28,1,4)&lt;&gt;"WPL:"),0,L28*$C$20/$C$16)</t>
  </si>
  <si>
    <t>=WENN(ODER(ISTFEHLER(28894.32*$C$21/N40),TEIL(B28,1,4)&lt;&gt;"WPL:"),0,28894.32*$C$21/N40)</t>
  </si>
  <si>
    <t>=WENN(ODER(ISTFEHLER(3842382.92*$C$20/$C$16),TEIL(B28,1,4)&lt;&gt;"WPL:"),0,3842382.92*$C$20/$C$16)</t>
  </si>
  <si>
    <t>=WENN(ODER(ISTFEHLER(L28*$C$21/N40),TEIL(B28,1,4)&lt;&gt;"WPL:"),0,L28*$C$21/N40)</t>
  </si>
  <si>
    <t>=WENN(ODER(ISTFEHLER(3842382.92*$C$20),TEIL(B28,1,4)&lt;&gt;"WPL:"),0,3842382.92*$C$21/N40)</t>
  </si>
  <si>
    <t xml:space="preserve">23.01.1998                    </t>
  </si>
  <si>
    <t xml:space="preserve">04.01.2028                    </t>
  </si>
  <si>
    <t>5</t>
  </si>
  <si>
    <t>DEUTSCHLAND REP 4.75% 98-04/07/2028</t>
  </si>
  <si>
    <t>DE0001135085</t>
  </si>
  <si>
    <t>DE1135085=TWEB</t>
  </si>
  <si>
    <t>=WENN(ODER(ISTFEHLER(L29*$C$20/$C$16),IDENTISCH(TEIL(B29,1,4),"WPL:")),0,L29*$C$20/$C$16)</t>
  </si>
  <si>
    <t>=WENN(ODER(ISTFEHLER(M29*$C$20/$C$16),IDENTISCH(TEIL(B29,1,4),"WPL:")),0,M29*$C$20/$C$16)</t>
  </si>
  <si>
    <t>=WENN(ODER(ISTFEHLER(N29*$C$20/$C$16),IDENTISCH(TEIL(B29,1,4),"WPL:")),0,N29*$C$20/$C$16)</t>
  </si>
  <si>
    <t>=WENN(ODER(ISTFEHLER(L29*$C$21/N40),IDENTISCH(TEIL(B29,1,4),"WPL:")),0,L29*$C$21/N40)</t>
  </si>
  <si>
    <t>=WENN(ODER(ISTFEHLER(M29*$C$21/N40),IDENTISCH(TEIL(B29,1,4),"WPL:")),0,M29*$C$21/N40)</t>
  </si>
  <si>
    <t>=WENN(ODER(ISTFEHLER(M29*$C$20),IDENTISCH(TEIL(B29,1,4),"WPL:")),0,N29*$C$21/N40)</t>
  </si>
  <si>
    <t>=WENN(ODER(ISTFEHLER(L29*$C$20/$C$16),TEIL(B29,1,4)&lt;&gt;"WPL:"),0,L29*$C$20/$C$16)</t>
  </si>
  <si>
    <t>=WENN(ODER(ISTFEHLER(64761.37*$C$21/N40),TEIL(B29,1,4)&lt;&gt;"WPL:"),0,64761.37*$C$21/N40)</t>
  </si>
  <si>
    <t>=WENN(ODER(ISTFEHLER(2875106.71*$C$20/$C$16),TEIL(B29,1,4)&lt;&gt;"WPL:"),0,2875106.71*$C$20/$C$16)</t>
  </si>
  <si>
    <t>=WENN(ODER(ISTFEHLER(L29*$C$21/N40),TEIL(B29,1,4)&lt;&gt;"WPL:"),0,L29*$C$21/N40)</t>
  </si>
  <si>
    <t>=WENN(ODER(ISTFEHLER(2875106.71*$C$20),TEIL(B29,1,4)&lt;&gt;"WPL:"),0,2875106.71*$C$21/N40)</t>
  </si>
  <si>
    <t xml:space="preserve">09.10.1998                    </t>
  </si>
  <si>
    <t xml:space="preserve">04.07.2028                    </t>
  </si>
  <si>
    <t>6</t>
  </si>
  <si>
    <t>DEUTSCHLAND REP 6.25% 00-04/01/2030</t>
  </si>
  <si>
    <t>DE0001135143</t>
  </si>
  <si>
    <t>DE1135143=TWEB</t>
  </si>
  <si>
    <t>=WENN(ODER(ISTFEHLER(L30*$C$20/$C$16),IDENTISCH(TEIL(B30,1,4),"WPL:")),0,L30*$C$20/$C$16)</t>
  </si>
  <si>
    <t>=WENN(ODER(ISTFEHLER(M30*$C$20/$C$16),IDENTISCH(TEIL(B30,1,4),"WPL:")),0,M30*$C$20/$C$16)</t>
  </si>
  <si>
    <t>=WENN(ODER(ISTFEHLER(N30*$C$20/$C$16),IDENTISCH(TEIL(B30,1,4),"WPL:")),0,N30*$C$20/$C$16)</t>
  </si>
  <si>
    <t>=WENN(ODER(ISTFEHLER(L30*$C$21/N40),IDENTISCH(TEIL(B30,1,4),"WPL:")),0,L30*$C$21/N40)</t>
  </si>
  <si>
    <t>=WENN(ODER(ISTFEHLER(M30*$C$21/N40),IDENTISCH(TEIL(B30,1,4),"WPL:")),0,M30*$C$21/N40)</t>
  </si>
  <si>
    <t>=WENN(ODER(ISTFEHLER(M30*$C$20),IDENTISCH(TEIL(B30,1,4),"WPL:")),0,N30*$C$21/N40)</t>
  </si>
  <si>
    <t>=WENN(ODER(ISTFEHLER(L30*$C$20/$C$16),TEIL(B30,1,4)&lt;&gt;"WPL:"),0,L30*$C$20/$C$16)</t>
  </si>
  <si>
    <t>=WENN(ODER(ISTFEHLER(20483.56*$C$21/N40),TEIL(B30,1,4)&lt;&gt;"WPL:"),0,20483.56*$C$21/N40)</t>
  </si>
  <si>
    <t>=WENN(ODER(ISTFEHLER(2703177.68*$C$20/$C$16),TEIL(B30,1,4)&lt;&gt;"WPL:"),0,2703177.68*$C$20/$C$16)</t>
  </si>
  <si>
    <t>=WENN(ODER(ISTFEHLER(L30*$C$21/N40),TEIL(B30,1,4)&lt;&gt;"WPL:"),0,L30*$C$21/N40)</t>
  </si>
  <si>
    <t>=WENN(ODER(ISTFEHLER(2703177.68*$C$20),TEIL(B30,1,4)&lt;&gt;"WPL:"),0,2703177.68*$C$21/N40)</t>
  </si>
  <si>
    <t xml:space="preserve">21.01.2000                    </t>
  </si>
  <si>
    <t xml:space="preserve">04.01.2030                    </t>
  </si>
  <si>
    <t>7</t>
  </si>
  <si>
    <t>DEUTSCHLAND REP 5.5% 00-04/01/2031</t>
  </si>
  <si>
    <t>DE0001135176</t>
  </si>
  <si>
    <t>DE1135176=TWEB</t>
  </si>
  <si>
    <t>=WENN(ODER(ISTFEHLER(L31*$C$20/$C$16),IDENTISCH(TEIL(B31,1,4),"WPL:")),0,L31*$C$20/$C$16)</t>
  </si>
  <si>
    <t>=WENN(ODER(ISTFEHLER(M31*$C$20/$C$16),IDENTISCH(TEIL(B31,1,4),"WPL:")),0,M31*$C$20/$C$16)</t>
  </si>
  <si>
    <t>=WENN(ODER(ISTFEHLER(N31*$C$20/$C$16),IDENTISCH(TEIL(B31,1,4),"WPL:")),0,N31*$C$20/$C$16)</t>
  </si>
  <si>
    <t>=WENN(ODER(ISTFEHLER(L31*$C$21/N40),IDENTISCH(TEIL(B31,1,4),"WPL:")),0,L31*$C$21/N40)</t>
  </si>
  <si>
    <t>=WENN(ODER(ISTFEHLER(M31*$C$21/N40),IDENTISCH(TEIL(B31,1,4),"WPL:")),0,M31*$C$21/N40)</t>
  </si>
  <si>
    <t>=WENN(ODER(ISTFEHLER(M31*$C$20),IDENTISCH(TEIL(B31,1,4),"WPL:")),0,N31*$C$21/N40)</t>
  </si>
  <si>
    <t>=WENN(ODER(ISTFEHLER(L31*$C$20/$C$16),TEIL(B31,1,4)&lt;&gt;"WPL:"),0,L31*$C$20/$C$16)</t>
  </si>
  <si>
    <t>=WENN(ODER(ISTFEHLER(33119.34*$C$21/N40),TEIL(B31,1,4)&lt;&gt;"WPL:"),0,33119.34*$C$21/N40)</t>
  </si>
  <si>
    <t>=WENN(ODER(ISTFEHLER(4791326.94*$C$20/$C$16),TEIL(B31,1,4)&lt;&gt;"WPL:"),0,4791326.94*$C$20/$C$16)</t>
  </si>
  <si>
    <t>=WENN(ODER(ISTFEHLER(L31*$C$21/N40),TEIL(B31,1,4)&lt;&gt;"WPL:"),0,L31*$C$21/N40)</t>
  </si>
  <si>
    <t>=WENN(ODER(ISTFEHLER(4791326.94*$C$20),TEIL(B31,1,4)&lt;&gt;"WPL:"),0,4791326.94*$C$21/N40)</t>
  </si>
  <si>
    <t xml:space="preserve">27.10.2000                    </t>
  </si>
  <si>
    <t xml:space="preserve">04.01.2031                    </t>
  </si>
  <si>
    <t>8</t>
  </si>
  <si>
    <t>DEUTSCHLAND REP 4.75% 03-04/07/2034</t>
  </si>
  <si>
    <t>DE0001135226</t>
  </si>
  <si>
    <t>DE1135226=TWEB</t>
  </si>
  <si>
    <t>=WENN(ODER(ISTFEHLER(L32*$C$20/$C$16),IDENTISCH(TEIL(B32,1,4),"WPL:")),0,L32*$C$20/$C$16)</t>
  </si>
  <si>
    <t>=WENN(ODER(ISTFEHLER(M32*$C$20/$C$16),IDENTISCH(TEIL(B32,1,4),"WPL:")),0,M32*$C$20/$C$16)</t>
  </si>
  <si>
    <t>=WENN(ODER(ISTFEHLER(N32*$C$20/$C$16),IDENTISCH(TEIL(B32,1,4),"WPL:")),0,N32*$C$20/$C$16)</t>
  </si>
  <si>
    <t>=WENN(ODER(ISTFEHLER(L32*$C$21/N40),IDENTISCH(TEIL(B32,1,4),"WPL:")),0,L32*$C$21/N40)</t>
  </si>
  <si>
    <t>=WENN(ODER(ISTFEHLER(M32*$C$21/N40),IDENTISCH(TEIL(B32,1,4),"WPL:")),0,M32*$C$21/N40)</t>
  </si>
  <si>
    <t>=WENN(ODER(ISTFEHLER(M32*$C$20),IDENTISCH(TEIL(B32,1,4),"WPL:")),0,N32*$C$21/N40)</t>
  </si>
  <si>
    <t>=WENN(ODER(ISTFEHLER(L32*$C$20/$C$16),TEIL(B32,1,4)&lt;&gt;"WPL:"),0,L32*$C$20/$C$16)</t>
  </si>
  <si>
    <t>=WENN(ODER(ISTFEHLER(115142.6*$C$21/N40),TEIL(B32,1,4)&lt;&gt;"WPL:"),0,115142.6*$C$21/N40)</t>
  </si>
  <si>
    <t>=WENN(ODER(ISTFEHLER(5701337.25*$C$20/$C$16),TEIL(B32,1,4)&lt;&gt;"WPL:"),0,5701337.25*$C$20/$C$16)</t>
  </si>
  <si>
    <t>=WENN(ODER(ISTFEHLER(L32*$C$21/N40),TEIL(B32,1,4)&lt;&gt;"WPL:"),0,L32*$C$21/N40)</t>
  </si>
  <si>
    <t>=WENN(ODER(ISTFEHLER(5701337.25*$C$20),TEIL(B32,1,4)&lt;&gt;"WPL:"),0,5701337.25*$C$21/N40)</t>
  </si>
  <si>
    <t xml:space="preserve">31.01.2003                    </t>
  </si>
  <si>
    <t xml:space="preserve">04.07.2034                    </t>
  </si>
  <si>
    <t>9</t>
  </si>
  <si>
    <t>DEUTSCHLAND REP 4% 05-04/01/2037</t>
  </si>
  <si>
    <t>DE0001135275</t>
  </si>
  <si>
    <t>DE1135275=TWEB</t>
  </si>
  <si>
    <t>=WENN(ODER(ISTFEHLER(L33*$C$20/$C$16),IDENTISCH(TEIL(B33,1,4),"WPL:")),0,L33*$C$20/$C$16)</t>
  </si>
  <si>
    <t>=WENN(ODER(ISTFEHLER(M33*$C$20/$C$16),IDENTISCH(TEIL(B33,1,4),"WPL:")),0,M33*$C$20/$C$16)</t>
  </si>
  <si>
    <t>=WENN(ODER(ISTFEHLER(N33*$C$20/$C$16),IDENTISCH(TEIL(B33,1,4),"WPL:")),0,N33*$C$20/$C$16)</t>
  </si>
  <si>
    <t>=WENN(ODER(ISTFEHLER(L33*$C$21/N40),IDENTISCH(TEIL(B33,1,4),"WPL:")),0,L33*$C$21/N40)</t>
  </si>
  <si>
    <t>=WENN(ODER(ISTFEHLER(M33*$C$21/N40),IDENTISCH(TEIL(B33,1,4),"WPL:")),0,M33*$C$21/N40)</t>
  </si>
  <si>
    <t>=WENN(ODER(ISTFEHLER(M33*$C$20),IDENTISCH(TEIL(B33,1,4),"WPL:")),0,N33*$C$21/N40)</t>
  </si>
  <si>
    <t>=WENN(ODER(ISTFEHLER(L33*$C$20/$C$16),TEIL(B33,1,4)&lt;&gt;"WPL:"),0,L33*$C$20/$C$16)</t>
  </si>
  <si>
    <t>=WENN(ODER(ISTFEHLER(32590.47*$C$21/N40),TEIL(B33,1,4)&lt;&gt;"WPL:"),0,32590.47*$C$21/N40)</t>
  </si>
  <si>
    <t>=WENN(ODER(ISTFEHLER(6133387.9*$C$20/$C$16),TEIL(B33,1,4)&lt;&gt;"WPL:"),0,6133387.9*$C$20/$C$16)</t>
  </si>
  <si>
    <t>=WENN(ODER(ISTFEHLER(L33*$C$21/N40),TEIL(B33,1,4)&lt;&gt;"WPL:"),0,L33*$C$21/N40)</t>
  </si>
  <si>
    <t>=WENN(ODER(ISTFEHLER(6133387.9*$C$20),TEIL(B33,1,4)&lt;&gt;"WPL:"),0,6133387.9*$C$21/N40)</t>
  </si>
  <si>
    <t xml:space="preserve">28.01.2005                    </t>
  </si>
  <si>
    <t xml:space="preserve">04.01.2037                    </t>
  </si>
  <si>
    <t>10</t>
  </si>
  <si>
    <t>DEUTSCHLAND REP 4.25% 07-04/07/2039</t>
  </si>
  <si>
    <t>DE0001135325</t>
  </si>
  <si>
    <t>DE1135325=TWEB</t>
  </si>
  <si>
    <t>=WENN(ODER(ISTFEHLER(L34*$C$20/$C$16),IDENTISCH(TEIL(B34,1,4),"WPL:")),0,L34*$C$20/$C$16)</t>
  </si>
  <si>
    <t>=WENN(ODER(ISTFEHLER(M34*$C$20/$C$16),IDENTISCH(TEIL(B34,1,4),"WPL:")),0,M34*$C$20/$C$16)</t>
  </si>
  <si>
    <t>=WENN(ODER(ISTFEHLER(N34*$C$20/$C$16),IDENTISCH(TEIL(B34,1,4),"WPL:")),0,N34*$C$20/$C$16)</t>
  </si>
  <si>
    <t>=WENN(ODER(ISTFEHLER(L34*$C$21/N40),IDENTISCH(TEIL(B34,1,4),"WPL:")),0,L34*$C$21/N40)</t>
  </si>
  <si>
    <t>=WENN(ODER(ISTFEHLER(M34*$C$21/N40),IDENTISCH(TEIL(B34,1,4),"WPL:")),0,M34*$C$21/N40)</t>
  </si>
  <si>
    <t>=WENN(ODER(ISTFEHLER(M34*$C$20),IDENTISCH(TEIL(B34,1,4),"WPL:")),0,N34*$C$21/N40)</t>
  </si>
  <si>
    <t>=WENN(ODER(ISTFEHLER(L34*$C$20/$C$16),TEIL(B34,1,4)&lt;&gt;"WPL:"),0,L34*$C$20/$C$16)</t>
  </si>
  <si>
    <t>=WENN(ODER(ISTFEHLER(72112.6*$C$21/N40),TEIL(B34,1,4)&lt;&gt;"WPL:"),0,72112.6*$C$21/N40)</t>
  </si>
  <si>
    <t>=WENN(ODER(ISTFEHLER(4009653.88*$C$20/$C$16),TEIL(B34,1,4)&lt;&gt;"WPL:"),0,4009653.88*$C$20/$C$16)</t>
  </si>
  <si>
    <t>=WENN(ODER(ISTFEHLER(L34*$C$21/N40),TEIL(B34,1,4)&lt;&gt;"WPL:"),0,L34*$C$21/N40)</t>
  </si>
  <si>
    <t>=WENN(ODER(ISTFEHLER(4009653.88*$C$20),TEIL(B34,1,4)&lt;&gt;"WPL:"),0,4009653.88*$C$21/N40)</t>
  </si>
  <si>
    <t xml:space="preserve">26.01.2007                    </t>
  </si>
  <si>
    <t xml:space="preserve">04.07.2039                    </t>
  </si>
  <si>
    <t>11</t>
  </si>
  <si>
    <t>DEUTSCHLAND REP 4.75% 08-04/07/2040</t>
  </si>
  <si>
    <t>DE0001135366</t>
  </si>
  <si>
    <t>DE1135366=TWEB</t>
  </si>
  <si>
    <t>=WENN(ODER(ISTFEHLER(L35*$C$20/$C$16),IDENTISCH(TEIL(B35,1,4),"WPL:")),0,L35*$C$20/$C$16)</t>
  </si>
  <si>
    <t>=WENN(ODER(ISTFEHLER(M35*$C$20/$C$16),IDENTISCH(TEIL(B35,1,4),"WPL:")),0,M35*$C$20/$C$16)</t>
  </si>
  <si>
    <t>=WENN(ODER(ISTFEHLER(N35*$C$20/$C$16),IDENTISCH(TEIL(B35,1,4),"WPL:")),0,N35*$C$20/$C$16)</t>
  </si>
  <si>
    <t>=WENN(ODER(ISTFEHLER(L35*$C$21/N40),IDENTISCH(TEIL(B35,1,4),"WPL:")),0,L35*$C$21/N40)</t>
  </si>
  <si>
    <t>=WENN(ODER(ISTFEHLER(M35*$C$21/N40),IDENTISCH(TEIL(B35,1,4),"WPL:")),0,M35*$C$21/N40)</t>
  </si>
  <si>
    <t>=WENN(ODER(ISTFEHLER(M35*$C$20),IDENTISCH(TEIL(B35,1,4),"WPL:")),0,N35*$C$21/N40)</t>
  </si>
  <si>
    <t>=WENN(ODER(ISTFEHLER(L35*$C$20/$C$16),TEIL(B35,1,4)&lt;&gt;"WPL:"),0,L35*$C$20/$C$16)</t>
  </si>
  <si>
    <t>=WENN(ODER(ISTFEHLER(92100.55*$C$21/N40),TEIL(B35,1,4)&lt;&gt;"WPL:"),0,92100.55*$C$21/N40)</t>
  </si>
  <si>
    <t>=WENN(ODER(ISTFEHLER(4927543.01*$C$20/$C$16),TEIL(B35,1,4)&lt;&gt;"WPL:"),0,4927543.01*$C$20/$C$16)</t>
  </si>
  <si>
    <t>=WENN(ODER(ISTFEHLER(L35*$C$21/N40),TEIL(B35,1,4)&lt;&gt;"WPL:"),0,L35*$C$21/N40)</t>
  </si>
  <si>
    <t>=WENN(ODER(ISTFEHLER(4927543.01*$C$20),TEIL(B35,1,4)&lt;&gt;"WPL:"),0,4927543.01*$C$21/N40)</t>
  </si>
  <si>
    <t xml:space="preserve">25.07.2008                    </t>
  </si>
  <si>
    <t xml:space="preserve">04.07.2040                    </t>
  </si>
  <si>
    <t>12</t>
  </si>
  <si>
    <t>DEUTSCHLAND REP 3.25% 10-04/07/2042</t>
  </si>
  <si>
    <t>DE0001135432</t>
  </si>
  <si>
    <t>DE1135432=TWEB</t>
  </si>
  <si>
    <t>=WENN(ODER(ISTFEHLER(L36*$C$20/$C$16),IDENTISCH(TEIL(B36,1,4),"WPL:")),0,L36*$C$20/$C$16)</t>
  </si>
  <si>
    <t>=WENN(ODER(ISTFEHLER(M36*$C$20/$C$16),IDENTISCH(TEIL(B36,1,4),"WPL:")),0,M36*$C$20/$C$16)</t>
  </si>
  <si>
    <t>=WENN(ODER(ISTFEHLER(N36*$C$20/$C$16),IDENTISCH(TEIL(B36,1,4),"WPL:")),0,N36*$C$20/$C$16)</t>
  </si>
  <si>
    <t>=WENN(ODER(ISTFEHLER(L36*$C$21/N40),IDENTISCH(TEIL(B36,1,4),"WPL:")),0,L36*$C$21/N40)</t>
  </si>
  <si>
    <t>=WENN(ODER(ISTFEHLER(M36*$C$21/N40),IDENTISCH(TEIL(B36,1,4),"WPL:")),0,M36*$C$21/N40)</t>
  </si>
  <si>
    <t>=WENN(ODER(ISTFEHLER(M36*$C$20),IDENTISCH(TEIL(B36,1,4),"WPL:")),0,N36*$C$21/N40)</t>
  </si>
  <si>
    <t>=WENN(ODER(ISTFEHLER(L36*$C$20/$C$16),TEIL(B36,1,4)&lt;&gt;"WPL:"),0,L36*$C$20/$C$16)</t>
  </si>
  <si>
    <t>=WENN(ODER(ISTFEHLER(59080.55*$C$21/N40),TEIL(B36,1,4)&lt;&gt;"WPL:"),0,59080.55*$C$21/N40)</t>
  </si>
  <si>
    <t>=WENN(ODER(ISTFEHLER(3832442.23*$C$20/$C$16),TEIL(B36,1,4)&lt;&gt;"WPL:"),0,3832442.23*$C$20/$C$16)</t>
  </si>
  <si>
    <t>=WENN(ODER(ISTFEHLER(L36*$C$21/N40),TEIL(B36,1,4)&lt;&gt;"WPL:"),0,L36*$C$21/N40)</t>
  </si>
  <si>
    <t>=WENN(ODER(ISTFEHLER(3832442.23*$C$20),TEIL(B36,1,4)&lt;&gt;"WPL:"),0,3832442.23*$C$21/N40)</t>
  </si>
  <si>
    <t xml:space="preserve">23.07.2010                    </t>
  </si>
  <si>
    <t xml:space="preserve">04.07.2042                    </t>
  </si>
  <si>
    <t>13</t>
  </si>
  <si>
    <t>DEUTSCHLAND REP 2.5% 12-04/07/2044</t>
  </si>
  <si>
    <t>DE0001135481</t>
  </si>
  <si>
    <t>DE1135481=TWEB</t>
  </si>
  <si>
    <t>=WENN(ODER(ISTFEHLER(L37*$C$20/$C$16),IDENTISCH(TEIL(B37,1,4),"WPL:")),0,L37*$C$20/$C$16)</t>
  </si>
  <si>
    <t>=WENN(ODER(ISTFEHLER(M37*$C$20/$C$16),IDENTISCH(TEIL(B37,1,4),"WPL:")),0,M37*$C$20/$C$16)</t>
  </si>
  <si>
    <t>=WENN(ODER(ISTFEHLER(N37*$C$20/$C$16),IDENTISCH(TEIL(B37,1,4),"WPL:")),0,N37*$C$20/$C$16)</t>
  </si>
  <si>
    <t>=WENN(ODER(ISTFEHLER(L37*$C$21/N40),IDENTISCH(TEIL(B37,1,4),"WPL:")),0,L37*$C$21/N40)</t>
  </si>
  <si>
    <t>=WENN(ODER(ISTFEHLER(M37*$C$21/N40),IDENTISCH(TEIL(B37,1,4),"WPL:")),0,M37*$C$21/N40)</t>
  </si>
  <si>
    <t>=WENN(ODER(ISTFEHLER(M37*$C$20),IDENTISCH(TEIL(B37,1,4),"WPL:")),0,N37*$C$21/N40)</t>
  </si>
  <si>
    <t>=WENN(ODER(ISTFEHLER(L37*$C$20/$C$16),TEIL(B37,1,4)&lt;&gt;"WPL:"),0,L37*$C$20/$C$16)</t>
  </si>
  <si>
    <t>=WENN(ODER(ISTFEHLER(57573.97*$C$21/N40),TEIL(B37,1,4)&lt;&gt;"WPL:"),0,57573.97*$C$21/N40)</t>
  </si>
  <si>
    <t>=WENN(ODER(ISTFEHLER(4316146.23*$C$20/$C$16),TEIL(B37,1,4)&lt;&gt;"WPL:"),0,4316146.23*$C$20/$C$16)</t>
  </si>
  <si>
    <t>=WENN(ODER(ISTFEHLER(L37*$C$21/N40),TEIL(B37,1,4)&lt;&gt;"WPL:"),0,L37*$C$21/N40)</t>
  </si>
  <si>
    <t>=WENN(ODER(ISTFEHLER(4316146.23*$C$20),TEIL(B37,1,4)&lt;&gt;"WPL:"),0,4316146.23*$C$21/N40)</t>
  </si>
  <si>
    <t xml:space="preserve">27.04.2012                    </t>
  </si>
  <si>
    <t xml:space="preserve">04.07.2044                    </t>
  </si>
  <si>
    <t>Barbestand (DekaBank, Kontokorrentkonto, -0,353% Zinsen*)</t>
  </si>
  <si>
    <t>Sonstige Forderungen und Verbindlichkeiten</t>
  </si>
  <si>
    <t>Gesamtfonds-Ebene</t>
  </si>
  <si>
    <t>=SUMME(l25:l39)</t>
  </si>
  <si>
    <t>=SUMME(m25:m39)</t>
  </si>
  <si>
    <t>=SUMME(n25:n39)</t>
  </si>
  <si>
    <t>=SUMME(o25:o39)</t>
  </si>
  <si>
    <t>=SUMME(p25:p39)</t>
  </si>
  <si>
    <t>=SUMME(q25:q39)</t>
  </si>
  <si>
    <t>=SUMME(r25:r39)</t>
  </si>
  <si>
    <t>=SUMME(s25:s39)</t>
  </si>
  <si>
    <t>Aufgeteilt nach Emittenten</t>
  </si>
  <si>
    <t>110000</t>
  </si>
  <si>
    <t>=WENN(ISTFEHLER(L48*$C$20/$C$16),0,L48*$C$20/$C$16)</t>
  </si>
  <si>
    <t>=WENN(ISTFEHLER(M48*$C$20/$C$16),0,M48*$C$20/$C$16)</t>
  </si>
  <si>
    <t>=WENN(ISTFEHLER(N48*$C$20/$C$16),0,N48*$C$20/$C$16)</t>
  </si>
  <si>
    <t>=WENN(ISTFEHLER(L48*$C$21/N53),0,L48*$C$21/N53)</t>
  </si>
  <si>
    <t>=WENN(ISTFEHLER(M48*$C$21/N53),0,M48*$C$21/N53)</t>
  </si>
  <si>
    <t>=WENN(ISTFEHLER(O48*$C$21/N53),0,O48*$C$21/N53)</t>
  </si>
  <si>
    <t>STÜCKZINSANSPR ANLEIHEN (AUTO)</t>
  </si>
  <si>
    <t>=WENN(ISTFEHLER(L49*$C$20/$C$16),0,L49*$C$20/$C$16)</t>
  </si>
  <si>
    <t>=WENN(ISTFEHLER(M49*$C$20/$C$16),0,M49*$C$20/$C$16)</t>
  </si>
  <si>
    <t>=WENN(ISTFEHLER(N49*$C$20/$C$16),0,N49*$C$20/$C$16)</t>
  </si>
  <si>
    <t>=WENN(ISTFEHLER(L49*$C$21/N54),0,L49*$C$21/N54)</t>
  </si>
  <si>
    <t>=WENN(ISTFEHLER(M49*$C$21/N54),0,M49*$C$21/N54)</t>
  </si>
  <si>
    <t>=WENN(ISTFEHLER(O49*$C$21/N54),0,O49*$C$21/N54)</t>
  </si>
  <si>
    <t>VERB VERWALTUNGSVERGÜTUNG(AUTO</t>
  </si>
  <si>
    <t>=WENN(ISTFEHLER(L50*$C$20/$C$16),0,L50*$C$20/$C$16)</t>
  </si>
  <si>
    <t>=WENN(ISTFEHLER(M50*$C$20/$C$16),0,M50*$C$20/$C$16)</t>
  </si>
  <si>
    <t>=WENN(ISTFEHLER(N50*$C$20/$C$16),0,N50*$C$20/$C$16)</t>
  </si>
  <si>
    <t>=WENN(ISTFEHLER(L50*$C$21/N55),0,L50*$C$21/N55)</t>
  </si>
  <si>
    <t>=WENN(ISTFEHLER(M50*$C$21/N55),0,M50*$C$21/N55)</t>
  </si>
  <si>
    <t>=WENN(ISTFEHLER(O50*$C$21/N55),0,O50*$C$21/N55)</t>
  </si>
  <si>
    <t>=SUMME(L48:L52)</t>
  </si>
  <si>
    <t>=SUMME(m48:m52)</t>
  </si>
  <si>
    <t>=SUMME(n48:n52)</t>
  </si>
  <si>
    <t>=SUMME(p48:p52)</t>
  </si>
  <si>
    <t>=SUMME(q48:q52)</t>
  </si>
  <si>
    <t>=SUMME(r48:r52)</t>
  </si>
  <si>
    <t>=SUMME(s48:s52)</t>
  </si>
  <si>
    <t>=SUMME(t48:t52)</t>
  </si>
  <si>
    <t>=SUMME(u48:u52)</t>
  </si>
  <si>
    <t>=SUMME(v48:v52)</t>
  </si>
  <si>
    <t>*Cash im Fonds wurde mit durchschnittlich -0,353 % im Monat verzinst</t>
  </si>
  <si>
    <t>Disclaimer:</t>
  </si>
  <si>
    <t xml:space="preserve">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</si>
  <si>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
Die angegebenen Daten basieren auf den von Indexprovidern und anderen Quellen veröffentlichten Informationen. Die Daten werden von uns sorgfältig geprüft. Die Deka Investment GmbH übernimmt jedoch keine Gewähr oder sonstige Haftung für die Vollständigkeit und Richtigkeit dieser Daten; insbesondere haftet sie nicht für Schäden, die durch die Verwendung der oben genannten Daten entstehen.            
</t>
  </si>
  <si>
    <t xml:space="preserve">Data presented are based on information published by index providers and other sources. All data are carefully checked on our part. However, Deka Investment GmbH does not guarantee or warrant that such data are complete and/or correct and shall not be liable for any damages occurring due to the utilization of the above-mentioned data or for damages that occur due to the utilization of such data.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</si>
</sst>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 #,##0_);_(* (#,##0);_(* &quot;-&quot;_);_(@_)"/>
    <numFmt numFmtId="41" formatCode="_(&quot;$&quot;* #,##0_);_(&quot;$&quot;* (#,##0);_(&quot;$&quot;* &quot;-&quot;_);_(@_)"/>
    <numFmt numFmtId="44" formatCode="_(* #,##0.00_);_(* (#,##0.00);_(* &quot;-&quot;??_);_(@_)"/>
    <numFmt numFmtId="43" formatCode="_(&quot;$&quot;* #,##0.00_);_(&quot;$&quot;* (#,##0.00);_(&quot;$&quot;* &quot;-&quot;??_);_(@_)"/>
    <numFmt numFmtId="164" formatCode="&quot;&quot;#,##0.00"/>
  </numFmts>
  <fonts count="8">
    <font>
      <sz val="10"/>
      <name val="Arial"/>
      <family val="0"/>
    </font>
    <font>
      <sz val="10"/>
      <color indexed="8"/>
      <name val="Arial"/>
      <family val="0"/>
    </font>
    <font>
      <b/>
      <sz val="24"/>
      <color indexed="8"/>
      <name val="Arial"/>
      <family val="0"/>
    </font>
    <font>
      <sz val="16"/>
      <color indexed="8"/>
      <name val="Arial"/>
      <family val="0"/>
    </font>
    <font>
      <b/>
      <sz val="24"/>
      <color indexed="63"/>
      <name val="Arial"/>
      <family val="0"/>
    </font>
    <font>
      <b/>
      <sz val="16"/>
      <color indexed="8"/>
      <name val="Arial"/>
      <family val="0"/>
    </font>
    <font>
      <b/>
      <sz val="10"/>
      <color indexed="8"/>
      <name val="Arial"/>
      <family val="0"/>
    </font>
    <font>
      <sz val="11"/>
      <name val="Calibri"/>
      <family val="0"/>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62"/>
        <bgColor indexed="64"/>
      </patternFill>
    </fill>
  </fills>
  <borders count="67">
    <border>
      <left/>
      <right/>
      <top/>
      <bottom/>
      <diagonal/>
    </border>
    <border>
      <left style="thin">
        <color indexed="9"/>
      </left>
      <right>
        <color indexed="8"/>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color indexed="8"/>
      </bottom>
    </border>
    <border>
      <left>
        <color indexed="8"/>
      </left>
      <right style="thin">
        <color indexed="8"/>
      </right>
      <top>
        <color indexed="8"/>
      </top>
      <bottom>
        <color indexed="8"/>
      </bottom>
    </border>
    <border>
      <left style="thin">
        <color indexed="8"/>
      </left>
      <right style="thin">
        <color indexed="8"/>
      </right>
      <top style="thin">
        <color indexed="8"/>
      </top>
      <bottom style="thin">
        <color indexed="8"/>
      </bottom>
    </border>
    <border>
      <left style="thin">
        <color indexed="8"/>
      </left>
      <right>
        <color indexed="8"/>
      </right>
      <top>
        <color indexed="8"/>
      </top>
      <bottom style="thin">
        <color indexed="8"/>
      </bottom>
    </border>
    <border>
      <left>
        <color indexed="8"/>
      </left>
      <right>
        <color indexed="8"/>
      </right>
      <top style="thin">
        <color indexed="9"/>
      </top>
      <bottom style="thin">
        <color indexed="9"/>
      </bottom>
    </border>
    <border>
      <left>
        <color indexed="8"/>
      </left>
      <right style="thin">
        <color indexed="9"/>
      </right>
      <top style="thin">
        <color indexed="9"/>
      </top>
      <bottom style="thin">
        <color indexed="9"/>
      </bottom>
    </border>
    <border>
      <left style="thin">
        <color indexed="9"/>
      </left>
      <right>
        <color indexed="8"/>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thin">
        <color indexed="9"/>
      </right>
      <top style="medium">
        <color indexed="8"/>
      </top>
      <bottom>
        <color indexed="8"/>
      </bottom>
    </border>
    <border>
      <left>
        <color indexed="8"/>
      </left>
      <right style="thin">
        <color indexed="9"/>
      </right>
      <top style="medium">
        <color indexed="8"/>
      </top>
      <bottom>
        <color indexed="8"/>
      </bottom>
    </border>
    <border>
      <left style="medium">
        <color indexed="8"/>
      </left>
      <right style="thin">
        <color indexed="9"/>
      </right>
      <top style="medium">
        <color indexed="8"/>
      </top>
      <bottom>
        <color indexed="8"/>
      </bottom>
    </border>
    <border>
      <left style="thin">
        <color indexed="9"/>
      </left>
      <right style="medium">
        <color indexed="8"/>
      </right>
      <top style="medium">
        <color indexed="8"/>
      </top>
      <bottom>
        <color indexed="8"/>
      </bottom>
    </border>
    <border>
      <left style="thin">
        <color indexed="9"/>
      </left>
      <right style="thin">
        <color indexed="9"/>
      </right>
      <top>
        <color indexed="8"/>
      </top>
      <bottom style="medium">
        <color indexed="8"/>
      </bottom>
    </border>
    <border>
      <left style="medium">
        <color indexed="8"/>
      </left>
      <right style="thin">
        <color indexed="9"/>
      </right>
      <top>
        <color indexed="8"/>
      </top>
      <bottom style="medium">
        <color indexed="8"/>
      </bottom>
    </border>
    <border>
      <left>
        <color indexed="8"/>
      </left>
      <right style="thin">
        <color indexed="9"/>
      </right>
      <top>
        <color indexed="8"/>
      </top>
      <bottom style="medium">
        <color indexed="8"/>
      </bottom>
    </border>
    <border>
      <left style="thin">
        <color indexed="9"/>
      </left>
      <right style="medium">
        <color indexed="8"/>
      </right>
      <top>
        <color indexed="8"/>
      </top>
      <bottom style="medium">
        <color indexed="8"/>
      </bottom>
    </border>
    <border>
      <left style="thin">
        <color indexed="9"/>
      </left>
      <right style="medium">
        <color indexed="9"/>
      </right>
      <top>
        <color indexed="8"/>
      </top>
      <bottom style="medium">
        <color indexed="8"/>
      </bottom>
    </border>
    <border>
      <left style="thin">
        <color indexed="9"/>
      </left>
      <right>
        <color indexed="8"/>
      </right>
      <top>
        <color indexed="8"/>
      </top>
      <bottom style="medium">
        <color indexed="8"/>
      </bottom>
    </border>
    <border>
      <left style="thin">
        <color indexed="9"/>
      </left>
      <right style="thin">
        <color indexed="9"/>
      </right>
      <top>
        <color indexed="8"/>
      </top>
      <bottom>
        <color indexed="8"/>
      </bottom>
    </border>
    <border>
      <left style="thin">
        <color indexed="9"/>
      </left>
      <right style="medium">
        <color indexed="9"/>
      </right>
      <top style="thin">
        <color indexed="9"/>
      </top>
      <bottom style="thin">
        <color indexed="9"/>
      </bottom>
    </border>
    <border>
      <left style="medium">
        <color indexed="9"/>
      </left>
      <right style="medium">
        <color indexed="9"/>
      </right>
      <top style="thin">
        <color indexed="61"/>
      </top>
      <bottom style="medium">
        <color indexed="9"/>
      </bottom>
    </border>
    <border>
      <left style="medium">
        <color indexed="8"/>
      </left>
      <right style="medium">
        <color indexed="9"/>
      </right>
      <top style="thin">
        <color indexed="61"/>
      </top>
      <bottom style="medium">
        <color indexed="9"/>
      </bottom>
    </border>
    <border>
      <left>
        <color indexed="8"/>
      </left>
      <right style="medium">
        <color indexed="9"/>
      </right>
      <top style="thin">
        <color indexed="61"/>
      </top>
      <bottom style="medium">
        <color indexed="9"/>
      </bottom>
    </border>
    <border>
      <left style="medium">
        <color indexed="9"/>
      </left>
      <right style="medium">
        <color indexed="8"/>
      </right>
      <top style="thin">
        <color indexed="61"/>
      </top>
      <bottom style="medium">
        <color indexed="9"/>
      </bottom>
    </border>
    <border>
      <left style="medium">
        <color indexed="9"/>
      </left>
      <right style="thin">
        <color indexed="9"/>
      </right>
      <top style="thin">
        <color indexed="61"/>
      </top>
      <bottom style="medium">
        <color indexed="9"/>
      </bottom>
    </border>
    <border>
      <left style="medium">
        <color indexed="9"/>
      </left>
      <right>
        <color indexed="8"/>
      </right>
      <top style="thin">
        <color indexed="61"/>
      </top>
      <bottom style="medium">
        <color indexed="9"/>
      </bottom>
    </border>
    <border>
      <left style="medium">
        <color indexed="8"/>
      </left>
      <right style="thin">
        <color indexed="9"/>
      </right>
      <top style="thin">
        <color indexed="9"/>
      </top>
      <bottom style="thin">
        <color indexed="9"/>
      </bottom>
    </border>
    <border>
      <left style="thin">
        <color indexed="9"/>
      </left>
      <right style="medium">
        <color indexed="8"/>
      </right>
      <top style="thin">
        <color indexed="9"/>
      </top>
      <bottom style="thin">
        <color indexed="9"/>
      </bottom>
    </border>
    <border>
      <left>
        <color indexed="8"/>
      </left>
      <right>
        <color indexed="8"/>
      </right>
      <top style="medium">
        <color indexed="8"/>
      </top>
      <bottom style="medium">
        <color indexed="8"/>
      </bottom>
    </border>
    <border>
      <left style="medium">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color indexed="8"/>
      </left>
      <right style="thin">
        <color indexed="9"/>
      </right>
      <top style="medium">
        <color indexed="8"/>
      </top>
      <bottom style="medium">
        <color indexed="8"/>
      </bottom>
    </border>
    <border>
      <left style="thin">
        <color indexed="9"/>
      </left>
      <right>
        <color indexed="8"/>
      </right>
      <top style="medium">
        <color indexed="8"/>
      </top>
      <bottom>
        <color indexed="8"/>
      </bottom>
    </border>
    <border>
      <left>
        <color indexed="8"/>
      </left>
      <right>
        <color indexed="8"/>
      </right>
      <top style="medium">
        <color indexed="8"/>
      </top>
      <bottom>
        <color indexed="8"/>
      </bottom>
    </border>
    <border>
      <left style="medium">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color indexed="8"/>
      </right>
      <top>
        <color indexed="8"/>
      </top>
      <bottom style="medium">
        <color indexed="8"/>
      </bottom>
    </border>
    <border>
      <left>
        <color indexed="8"/>
      </left>
      <right>
        <color indexed="8"/>
      </right>
      <top>
        <color indexed="8"/>
      </top>
      <bottom style="medium">
        <color indexed="8"/>
      </bottom>
    </border>
    <border>
      <left>
        <color indexed="8"/>
      </left>
      <right style="medium">
        <color indexed="8"/>
      </right>
      <top>
        <color indexed="8"/>
      </top>
      <bottom style="medium">
        <color indexed="8"/>
      </bottom>
    </border>
    <border>
      <left>
        <color indexed="8"/>
      </left>
      <right style="thin">
        <color indexed="9"/>
      </right>
      <top>
        <color indexed="8"/>
      </top>
      <bottom>
        <color indexed="8"/>
      </bottom>
    </border>
    <border>
      <left style="medium">
        <color indexed="9"/>
      </left>
      <right>
        <color indexed="8"/>
      </right>
      <top>
        <color indexed="8"/>
      </top>
      <bottom>
        <color indexed="8"/>
      </bottom>
    </border>
    <border>
      <left style="medium">
        <color indexed="8"/>
      </left>
      <right style="thin">
        <color indexed="9"/>
      </right>
      <top>
        <color indexed="8"/>
      </top>
      <bottom>
        <color indexed="8"/>
      </bottom>
    </border>
    <border>
      <left>
        <color indexed="8"/>
      </left>
      <right style="medium">
        <color indexed="8"/>
      </right>
      <top>
        <color indexed="8"/>
      </top>
      <bottom>
        <color indexed="8"/>
      </bottom>
    </border>
    <border>
      <left>
        <color indexed="8"/>
      </left>
      <right style="medium">
        <color indexed="9"/>
      </right>
      <top>
        <color indexed="8"/>
      </top>
      <bottom>
        <color indexed="8"/>
      </bottom>
    </border>
    <border>
      <left style="medium">
        <color indexed="9"/>
      </left>
      <right style="medium">
        <color indexed="9"/>
      </right>
      <top style="medium">
        <color indexed="9"/>
      </top>
      <bottom style="medium">
        <color indexed="9"/>
      </bottom>
    </border>
    <border>
      <left style="medium">
        <color indexed="8"/>
      </left>
      <right>
        <color indexed="8"/>
      </right>
      <top style="medium">
        <color indexed="9"/>
      </top>
      <bottom style="medium">
        <color indexed="9"/>
      </bottom>
    </border>
    <border>
      <left>
        <color indexed="8"/>
      </left>
      <right>
        <color indexed="8"/>
      </right>
      <top style="medium">
        <color indexed="9"/>
      </top>
      <bottom style="medium">
        <color indexed="9"/>
      </bottom>
    </border>
    <border>
      <left style="thin">
        <color indexed="9"/>
      </left>
      <right style="medium">
        <color indexed="8"/>
      </right>
      <top style="thin">
        <color indexed="9"/>
      </top>
      <bottom style="medium">
        <color indexed="9"/>
      </bottom>
    </border>
    <border>
      <left>
        <color indexed="8"/>
      </left>
      <right style="medium">
        <color indexed="9"/>
      </right>
      <top style="medium">
        <color indexed="9"/>
      </top>
      <bottom style="medium">
        <color indexed="9"/>
      </bottom>
    </border>
    <border>
      <left>
        <color indexed="8"/>
      </left>
      <right style="medium">
        <color indexed="8"/>
      </right>
      <top style="thin">
        <color indexed="9"/>
      </top>
      <bottom style="thin">
        <color indexed="9"/>
      </bottom>
    </border>
    <border>
      <left style="medium">
        <color indexed="8"/>
      </left>
      <right style="thin">
        <color indexed="9"/>
      </right>
      <top style="medium">
        <color indexed="9"/>
      </top>
      <bottom style="medium">
        <color indexed="9"/>
      </bottom>
    </border>
    <border>
      <left>
        <color indexed="8"/>
      </left>
      <right style="thin">
        <color indexed="9"/>
      </right>
      <top style="medium">
        <color indexed="9"/>
      </top>
      <bottom style="medium">
        <color indexed="9"/>
      </bottom>
    </border>
    <border>
      <left>
        <color indexed="8"/>
      </left>
      <right style="medium">
        <color indexed="8"/>
      </right>
      <top>
        <color indexed="8"/>
      </top>
      <bottom style="medium">
        <color indexed="9"/>
      </bottom>
    </border>
    <border>
      <left style="thin">
        <color indexed="9"/>
      </left>
      <right>
        <color indexed="8"/>
      </right>
      <top>
        <color indexed="8"/>
      </top>
      <bottom>
        <color indexed="8"/>
      </bottom>
    </border>
    <border>
      <left style="thin">
        <color indexed="8"/>
      </left>
      <right style="thin">
        <color indexed="8"/>
      </right>
      <top style="thin">
        <color indexed="8"/>
      </top>
      <bottom style="thin">
        <color indexed="9"/>
      </bottom>
    </border>
    <border>
      <left>
        <color indexed="8"/>
      </left>
      <right>
        <color indexed="8"/>
      </right>
      <top style="thin">
        <color indexed="8"/>
      </top>
      <bottom style="thin">
        <color indexed="9"/>
      </bottom>
    </border>
    <border>
      <left>
        <color indexed="8"/>
      </left>
      <right style="thin">
        <color indexed="8"/>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8"/>
      </right>
      <top style="thin">
        <color indexed="9"/>
      </top>
      <bottom style="thin">
        <color indexed="8"/>
      </bottom>
    </border>
    <border>
      <left>
        <color indexed="8"/>
      </left>
      <right>
        <color indexed="8"/>
      </right>
      <top style="thin">
        <color indexed="9"/>
      </top>
      <bottom style="thin">
        <color indexed="8"/>
      </bottom>
    </border>
    <border>
      <left>
        <color indexed="8"/>
      </left>
      <right style="thin">
        <color indexed="8"/>
      </right>
      <top style="thin">
        <color indexed="9"/>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1" fillId="0" borderId="1" xfId="0" applyFont="1" applyBorder="1" applyAlignment="1">
      <alignment horizontal="right"/>
    </xf>
    <xf numFmtId="0" fontId="1" fillId="0" borderId="2" xfId="0" applyFont="1" applyBorder="1" applyAlignment="1">
      <alignment horizontal="left"/>
    </xf>
    <xf numFmtId="0" fontId="1" fillId="0" borderId="2" xfId="0" applyFont="1" applyBorder="1" applyAlignment="1">
      <alignment/>
    </xf>
    <xf numFmtId="0" fontId="1" fillId="0" borderId="2" xfId="0" applyFont="1" applyBorder="1" applyAlignment="1">
      <alignment wrapText="1"/>
    </xf>
    <xf numFmtId="0" fontId="2" fillId="0" borderId="1" xfId="0" applyFont="1" applyBorder="1" applyAlignment="1">
      <alignment horizontal="right" vertical="center"/>
    </xf>
    <xf numFmtId="0" fontId="3" fillId="0" borderId="2"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1" xfId="0" applyFont="1" applyBorder="1" applyAlignment="1">
      <alignment horizontal="right" vertical="center"/>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1" fillId="0" borderId="2" xfId="0" applyFont="1" applyBorder="1" applyAlignment="1">
      <alignment horizontal="right"/>
    </xf>
    <xf numFmtId="0" fontId="1" fillId="0" borderId="2"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1" fillId="0" borderId="3" xfId="0" applyFont="1" applyBorder="1" applyAlignment="1">
      <alignment horizontal="left"/>
    </xf>
    <xf numFmtId="0" fontId="1" fillId="2" borderId="4" xfId="0" applyFont="1" applyBorder="1" applyAlignment="1">
      <alignment horizontal="left" vertical="center"/>
    </xf>
    <xf numFmtId="0" fontId="1" fillId="2" borderId="5" xfId="0" applyFont="1" applyBorder="1" applyAlignment="1">
      <alignment horizontal="right" vertical="center"/>
    </xf>
    <xf numFmtId="0" fontId="1" fillId="2" borderId="6" xfId="0" applyFont="1" applyBorder="1" applyAlignment="1">
      <alignment horizontal="left" vertical="center"/>
    </xf>
    <xf numFmtId="0" fontId="1" fillId="2" borderId="7" xfId="0" applyFont="1" applyBorder="1" applyAlignment="1">
      <alignment horizontal="right" vertical="center"/>
    </xf>
    <xf numFmtId="164" fontId="1" fillId="2" borderId="7" xfId="0" applyFont="1" applyBorder="1" applyAlignment="1">
      <alignment horizontal="right" vertical="center"/>
    </xf>
    <xf numFmtId="0" fontId="6" fillId="3" borderId="4" xfId="0" applyFont="1" applyBorder="1" applyAlignment="1">
      <alignment horizontal="left" vertical="center"/>
    </xf>
    <xf numFmtId="0" fontId="6" fillId="3" borderId="8" xfId="0" applyFont="1" applyBorder="1" applyAlignment="1">
      <alignment horizontal="right" vertical="center"/>
    </xf>
    <xf numFmtId="0" fontId="6" fillId="3" borderId="9" xfId="0" applyFont="1" applyBorder="1" applyAlignment="1">
      <alignment horizontal="left" vertical="center"/>
    </xf>
    <xf numFmtId="0" fontId="1" fillId="4" borderId="1" xfId="0" applyFont="1" applyBorder="1" applyAlignment="1">
      <alignment horizontal="left"/>
    </xf>
    <xf numFmtId="0" fontId="1" fillId="4" borderId="10" xfId="0" applyFont="1" applyBorder="1" applyAlignment="1">
      <alignment/>
    </xf>
    <xf numFmtId="0" fontId="1" fillId="4" borderId="11" xfId="0" applyFont="1" applyBorder="1" applyAlignment="1">
      <alignment/>
    </xf>
    <xf numFmtId="0" fontId="1" fillId="0" borderId="2" xfId="0" applyFont="1" applyBorder="1" applyAlignment="1">
      <alignment horizontal="center"/>
    </xf>
    <xf numFmtId="0" fontId="6" fillId="2" borderId="12" xfId="0" applyFont="1" applyBorder="1" applyAlignment="1">
      <alignment horizontal="right" vertical="center"/>
    </xf>
    <xf numFmtId="0" fontId="6" fillId="2" borderId="12" xfId="0" applyFont="1" applyBorder="1" applyAlignment="1">
      <alignment horizontal="left" vertical="center"/>
    </xf>
    <xf numFmtId="0" fontId="6" fillId="2" borderId="13" xfId="0" applyFont="1" applyBorder="1" applyAlignment="1">
      <alignment horizontal="center" vertical="center"/>
    </xf>
    <xf numFmtId="0" fontId="6" fillId="2" borderId="13" xfId="0" applyFont="1" applyBorder="1" applyAlignment="1">
      <alignment horizontal="center" vertical="center" wrapText="1"/>
    </xf>
    <xf numFmtId="0" fontId="6" fillId="2" borderId="14" xfId="0" applyFont="1" applyBorder="1" applyAlignment="1">
      <alignment horizontal="center" vertical="center" wrapText="1"/>
    </xf>
    <xf numFmtId="0" fontId="6" fillId="2" borderId="14" xfId="0" applyFont="1" applyBorder="1" applyAlignment="1">
      <alignment horizontal="center" vertical="center"/>
    </xf>
    <xf numFmtId="0" fontId="7" fillId="0" borderId="15" xfId="0" applyFont="1" applyBorder="1" applyAlignment="1">
      <alignment/>
    </xf>
    <xf numFmtId="0" fontId="6" fillId="3" borderId="16" xfId="0" applyFont="1" applyBorder="1" applyAlignment="1">
      <alignment horizontal="center" vertical="center" wrapText="1"/>
    </xf>
    <xf numFmtId="0" fontId="6" fillId="3" borderId="15" xfId="0" applyFont="1" applyBorder="1" applyAlignment="1">
      <alignment horizontal="center" vertical="center" wrapText="1"/>
    </xf>
    <xf numFmtId="0" fontId="6" fillId="3" borderId="17" xfId="0" applyFont="1" applyBorder="1" applyAlignment="1">
      <alignment horizontal="center" vertical="center" wrapText="1"/>
    </xf>
    <xf numFmtId="0" fontId="6" fillId="3" borderId="14" xfId="0" applyFont="1" applyBorder="1" applyAlignment="1">
      <alignment horizontal="center" vertical="center" wrapText="1"/>
    </xf>
    <xf numFmtId="0" fontId="6" fillId="3" borderId="14" xfId="0" applyFont="1" applyBorder="1" applyAlignment="1">
      <alignment horizontal="center" vertical="center"/>
    </xf>
    <xf numFmtId="0" fontId="6" fillId="2" borderId="17" xfId="0" applyFont="1" applyBorder="1" applyAlignment="1">
      <alignment horizontal="center" vertical="center"/>
    </xf>
    <xf numFmtId="0" fontId="6" fillId="2" borderId="18" xfId="0" applyFont="1" applyBorder="1" applyAlignment="1">
      <alignment horizontal="center" vertical="center" wrapText="1"/>
    </xf>
    <xf numFmtId="0" fontId="6" fillId="2" borderId="18" xfId="0" applyFont="1" applyBorder="1" applyAlignment="1">
      <alignment horizontal="center" vertical="center"/>
    </xf>
    <xf numFmtId="0" fontId="6" fillId="3" borderId="19" xfId="0" applyFont="1" applyBorder="1" applyAlignment="1">
      <alignment horizontal="center" vertical="center" wrapText="1"/>
    </xf>
    <xf numFmtId="0" fontId="6" fillId="3" borderId="20" xfId="0" applyFont="1" applyBorder="1" applyAlignment="1">
      <alignment horizontal="center" vertical="center" wrapText="1"/>
    </xf>
    <xf numFmtId="0" fontId="6" fillId="3" borderId="21" xfId="0" applyFont="1" applyBorder="1" applyAlignment="1">
      <alignment horizontal="center" vertical="center" wrapText="1"/>
    </xf>
    <xf numFmtId="0" fontId="6" fillId="3" borderId="18" xfId="0" applyFont="1" applyBorder="1" applyAlignment="1">
      <alignment horizontal="center" vertical="center" wrapText="1"/>
    </xf>
    <xf numFmtId="0" fontId="6" fillId="3" borderId="21" xfId="0" applyFont="1" applyBorder="1" applyAlignment="1">
      <alignment horizontal="center" vertical="center"/>
    </xf>
    <xf numFmtId="0" fontId="6" fillId="3" borderId="18" xfId="0" applyFont="1" applyBorder="1" applyAlignment="1">
      <alignment horizontal="center" vertical="center"/>
    </xf>
    <xf numFmtId="0" fontId="6" fillId="3" borderId="22" xfId="0" applyFont="1" applyBorder="1" applyAlignment="1">
      <alignment horizontal="center" vertical="center"/>
    </xf>
    <xf numFmtId="0" fontId="6" fillId="3" borderId="23" xfId="0" applyFont="1" applyBorder="1" applyAlignment="1">
      <alignment horizontal="center" vertical="center"/>
    </xf>
    <xf numFmtId="0" fontId="6" fillId="2" borderId="21" xfId="0" applyFont="1" applyBorder="1" applyAlignment="1">
      <alignment horizontal="center" vertical="center"/>
    </xf>
    <xf numFmtId="0" fontId="7" fillId="0" borderId="23" xfId="0" applyFont="1" applyBorder="1" applyAlignment="1">
      <alignment/>
    </xf>
    <xf numFmtId="0" fontId="7" fillId="0" borderId="18" xfId="0" applyFont="1" applyBorder="1" applyAlignment="1">
      <alignment/>
    </xf>
    <xf numFmtId="0" fontId="7" fillId="0" borderId="24" xfId="0" applyFont="1" applyBorder="1" applyAlignment="1">
      <alignment/>
    </xf>
    <xf numFmtId="0" fontId="1" fillId="0" borderId="25" xfId="0" applyFont="1" applyBorder="1" applyAlignment="1">
      <alignment horizontal="right"/>
    </xf>
    <xf numFmtId="0" fontId="1" fillId="0" borderId="26" xfId="0" applyFont="1" applyBorder="1" applyAlignment="1">
      <alignment horizontal="left"/>
    </xf>
    <xf numFmtId="0" fontId="1" fillId="0" borderId="26" xfId="0" applyFont="1" applyBorder="1" applyAlignment="1">
      <alignment horizontal="left" vertical="center"/>
    </xf>
    <xf numFmtId="0" fontId="1" fillId="0" borderId="26" xfId="0" applyFont="1" applyBorder="1" applyAlignment="1">
      <alignment horizontal="right"/>
    </xf>
    <xf numFmtId="0" fontId="1" fillId="0" borderId="26" xfId="0" applyFont="1" applyBorder="1" applyAlignment="1">
      <alignment horizontal="right" wrapText="1"/>
    </xf>
    <xf numFmtId="0" fontId="1" fillId="0" borderId="26" xfId="0" applyFont="1" applyBorder="1" applyAlignment="1">
      <alignment wrapText="1"/>
    </xf>
    <xf numFmtId="164" fontId="1" fillId="0" borderId="26" xfId="0" applyFont="1" applyBorder="1" applyAlignment="1">
      <alignment wrapText="1"/>
    </xf>
    <xf numFmtId="164" fontId="1" fillId="0" borderId="26" xfId="0" applyFont="1" applyBorder="1" applyAlignment="1">
      <alignment horizontal="right" wrapText="1"/>
    </xf>
    <xf numFmtId="164" fontId="1" fillId="0" borderId="26" xfId="0" applyFont="1" applyBorder="1" applyAlignment="1">
      <alignment horizontal="right"/>
    </xf>
    <xf numFmtId="0" fontId="1" fillId="0" borderId="27" xfId="0" applyFont="1" applyBorder="1" applyAlignment="1">
      <alignment wrapText="1"/>
    </xf>
    <xf numFmtId="0" fontId="1" fillId="0" borderId="28" xfId="0" applyFont="1" applyBorder="1" applyAlignment="1">
      <alignment wrapText="1"/>
    </xf>
    <xf numFmtId="0" fontId="1" fillId="0" borderId="29" xfId="0" applyFont="1" applyBorder="1" applyAlignment="1">
      <alignment wrapText="1"/>
    </xf>
    <xf numFmtId="0" fontId="1" fillId="0" borderId="29" xfId="0" applyFont="1" applyBorder="1" applyAlignment="1">
      <alignment/>
    </xf>
    <xf numFmtId="0" fontId="1" fillId="0" borderId="30" xfId="0" applyFont="1" applyBorder="1" applyAlignment="1">
      <alignment/>
    </xf>
    <xf numFmtId="164" fontId="1" fillId="0" borderId="29" xfId="0" applyFont="1" applyBorder="1" applyAlignment="1">
      <alignment horizontal="right"/>
    </xf>
    <xf numFmtId="0" fontId="1" fillId="0" borderId="31" xfId="0" applyFont="1" applyBorder="1" applyAlignment="1">
      <alignment/>
    </xf>
    <xf numFmtId="164" fontId="1" fillId="0" borderId="31" xfId="0" applyFont="1" applyBorder="1" applyAlignment="1">
      <alignment horizontal="right"/>
    </xf>
    <xf numFmtId="0" fontId="1" fillId="0" borderId="30" xfId="0" applyFont="1" applyBorder="1" applyAlignment="1">
      <alignment horizontal="right"/>
    </xf>
    <xf numFmtId="0" fontId="1" fillId="0" borderId="29" xfId="0" applyFont="1" applyBorder="1" applyAlignment="1">
      <alignment horizontal="left"/>
    </xf>
    <xf numFmtId="164" fontId="1" fillId="0" borderId="2" xfId="0" applyFont="1" applyBorder="1" applyAlignment="1">
      <alignment horizontal="right"/>
    </xf>
    <xf numFmtId="164" fontId="1" fillId="0" borderId="2" xfId="0" applyFont="1" applyBorder="1" applyAlignment="1">
      <alignment horizontal="right" wrapText="1"/>
    </xf>
    <xf numFmtId="0" fontId="1" fillId="0" borderId="32" xfId="0" applyFont="1" applyBorder="1" applyAlignment="1">
      <alignment wrapText="1"/>
    </xf>
    <xf numFmtId="0" fontId="1" fillId="0" borderId="11" xfId="0" applyFont="1" applyBorder="1" applyAlignment="1">
      <alignment wrapText="1"/>
    </xf>
    <xf numFmtId="0" fontId="1" fillId="0" borderId="33" xfId="0" applyFont="1" applyBorder="1" applyAlignment="1">
      <alignment wrapText="1"/>
    </xf>
    <xf numFmtId="0" fontId="1" fillId="0" borderId="33" xfId="0" applyFont="1" applyBorder="1" applyAlignment="1">
      <alignment/>
    </xf>
    <xf numFmtId="0" fontId="1" fillId="0" borderId="1" xfId="0" applyFont="1" applyBorder="1" applyAlignment="1">
      <alignment/>
    </xf>
    <xf numFmtId="0" fontId="6" fillId="2" borderId="34" xfId="0" applyFont="1" applyBorder="1" applyAlignment="1">
      <alignment horizontal="right"/>
    </xf>
    <xf numFmtId="0" fontId="6" fillId="2" borderId="34" xfId="0" applyFont="1" applyBorder="1" applyAlignment="1">
      <alignment horizontal="left"/>
    </xf>
    <xf numFmtId="0" fontId="6" fillId="2" borderId="34" xfId="0" applyFont="1" applyBorder="1" applyAlignment="1">
      <alignment/>
    </xf>
    <xf numFmtId="0" fontId="6" fillId="2" borderId="34" xfId="0" applyFont="1" applyBorder="1" applyAlignment="1">
      <alignment wrapText="1"/>
    </xf>
    <xf numFmtId="0" fontId="6" fillId="2" borderId="35" xfId="0" applyFont="1" applyBorder="1" applyAlignment="1">
      <alignment wrapText="1"/>
    </xf>
    <xf numFmtId="0" fontId="6" fillId="2" borderId="36" xfId="0" applyFont="1" applyBorder="1" applyAlignment="1">
      <alignment wrapText="1"/>
    </xf>
    <xf numFmtId="0" fontId="6" fillId="2" borderId="36" xfId="0" applyFont="1" applyBorder="1" applyAlignment="1">
      <alignment/>
    </xf>
    <xf numFmtId="0" fontId="6" fillId="2" borderId="37" xfId="0" applyFont="1" applyBorder="1" applyAlignment="1">
      <alignment/>
    </xf>
    <xf numFmtId="0" fontId="1" fillId="0" borderId="1" xfId="0" applyFont="1" applyBorder="1" applyAlignment="1">
      <alignment wrapText="1"/>
    </xf>
    <xf numFmtId="0" fontId="6" fillId="0" borderId="1" xfId="0"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2" borderId="34" xfId="0" applyFont="1" applyBorder="1" applyAlignment="1">
      <alignment horizontal="right" vertical="center"/>
    </xf>
    <xf numFmtId="0" fontId="6" fillId="2" borderId="12" xfId="0" applyFont="1" applyBorder="1" applyAlignment="1">
      <alignment horizontal="center" vertical="center"/>
    </xf>
    <xf numFmtId="0" fontId="6" fillId="2" borderId="38" xfId="0" applyFont="1" applyBorder="1" applyAlignment="1">
      <alignment horizontal="center" vertical="center"/>
    </xf>
    <xf numFmtId="0" fontId="7" fillId="0" borderId="39" xfId="0" applyFont="1" applyBorder="1" applyAlignment="1">
      <alignment/>
    </xf>
    <xf numFmtId="0" fontId="6" fillId="3" borderId="40" xfId="0" applyFont="1" applyBorder="1" applyAlignment="1">
      <alignment horizontal="center" vertical="center" wrapText="1"/>
    </xf>
    <xf numFmtId="0" fontId="6" fillId="3" borderId="39" xfId="0" applyFont="1" applyBorder="1" applyAlignment="1">
      <alignment horizontal="center" vertical="center" wrapText="1"/>
    </xf>
    <xf numFmtId="0" fontId="6" fillId="3" borderId="38" xfId="0" applyFont="1" applyBorder="1" applyAlignment="1">
      <alignment horizontal="center" vertical="center" wrapText="1"/>
    </xf>
    <xf numFmtId="0" fontId="6" fillId="3" borderId="41" xfId="0" applyFont="1" applyBorder="1" applyAlignment="1">
      <alignment horizontal="center" vertical="center" wrapText="1"/>
    </xf>
    <xf numFmtId="0" fontId="6" fillId="2" borderId="23" xfId="0" applyFont="1" applyBorder="1" applyAlignment="1">
      <alignment horizontal="center" vertical="center"/>
    </xf>
    <xf numFmtId="0" fontId="6" fillId="3" borderId="42" xfId="0" applyFont="1" applyBorder="1" applyAlignment="1">
      <alignment horizontal="center" vertical="center"/>
    </xf>
    <xf numFmtId="0" fontId="6" fillId="3" borderId="43" xfId="0" applyFont="1" applyBorder="1" applyAlignment="1">
      <alignment horizontal="center" vertical="center"/>
    </xf>
    <xf numFmtId="0" fontId="6" fillId="3" borderId="44" xfId="0" applyFont="1" applyBorder="1" applyAlignment="1">
      <alignment horizontal="center" vertical="center"/>
    </xf>
    <xf numFmtId="0" fontId="7" fillId="0" borderId="43" xfId="0" applyFont="1" applyBorder="1" applyAlignment="1">
      <alignment/>
    </xf>
    <xf numFmtId="0" fontId="1" fillId="0" borderId="45" xfId="0" applyFont="1" applyBorder="1" applyAlignment="1">
      <alignment horizontal="right"/>
    </xf>
    <xf numFmtId="0" fontId="1" fillId="0" borderId="45" xfId="0" applyFont="1" applyBorder="1" applyAlignment="1">
      <alignment horizontal="left"/>
    </xf>
    <xf numFmtId="0" fontId="1" fillId="0" borderId="0" xfId="0" applyFont="1" applyAlignment="1">
      <alignment horizontal="right"/>
    </xf>
    <xf numFmtId="0" fontId="1" fillId="0" borderId="46" xfId="0" applyFont="1" applyBorder="1" applyAlignment="1">
      <alignment horizontal="right"/>
    </xf>
    <xf numFmtId="0" fontId="1" fillId="0" borderId="47" xfId="0" applyFont="1" applyBorder="1" applyAlignment="1">
      <alignment horizontal="right"/>
    </xf>
    <xf numFmtId="0" fontId="1" fillId="0" borderId="48" xfId="0" applyFont="1" applyBorder="1" applyAlignment="1">
      <alignment horizontal="right"/>
    </xf>
    <xf numFmtId="0" fontId="1" fillId="0" borderId="49" xfId="0" applyFont="1" applyBorder="1" applyAlignment="1">
      <alignment horizontal="right"/>
    </xf>
    <xf numFmtId="0" fontId="1" fillId="0" borderId="10" xfId="0" applyFont="1" applyBorder="1" applyAlignment="1">
      <alignment horizontal="right"/>
    </xf>
    <xf numFmtId="164" fontId="1" fillId="0" borderId="50" xfId="0" applyFont="1" applyBorder="1" applyAlignment="1">
      <alignment horizontal="right"/>
    </xf>
    <xf numFmtId="0" fontId="1" fillId="0" borderId="51" xfId="0" applyFont="1" applyBorder="1" applyAlignment="1">
      <alignment horizontal="right"/>
    </xf>
    <xf numFmtId="0" fontId="1" fillId="0" borderId="52" xfId="0" applyFont="1" applyBorder="1" applyAlignment="1">
      <alignment horizontal="right"/>
    </xf>
    <xf numFmtId="0" fontId="1" fillId="0" borderId="53" xfId="0" applyFont="1" applyBorder="1" applyAlignment="1">
      <alignment horizontal="right"/>
    </xf>
    <xf numFmtId="0" fontId="1" fillId="0" borderId="54" xfId="0" applyFont="1" applyBorder="1" applyAlignment="1">
      <alignment horizontal="right"/>
    </xf>
    <xf numFmtId="0" fontId="1" fillId="0" borderId="55" xfId="0" applyFont="1" applyBorder="1" applyAlignment="1">
      <alignment horizontal="right"/>
    </xf>
    <xf numFmtId="0" fontId="1" fillId="0" borderId="56" xfId="0" applyFont="1" applyBorder="1" applyAlignment="1">
      <alignment horizontal="right"/>
    </xf>
    <xf numFmtId="0" fontId="1" fillId="0" borderId="57" xfId="0" applyFont="1" applyBorder="1" applyAlignment="1">
      <alignment horizontal="right"/>
    </xf>
    <xf numFmtId="0" fontId="1" fillId="0" borderId="58" xfId="0" applyFont="1" applyBorder="1" applyAlignment="1">
      <alignment horizontal="right"/>
    </xf>
    <xf numFmtId="0" fontId="1" fillId="0" borderId="59" xfId="0" applyFont="1" applyBorder="1" applyAlignment="1">
      <alignment horizontal="left"/>
    </xf>
    <xf numFmtId="0" fontId="1" fillId="0" borderId="59" xfId="0" applyFont="1" applyBorder="1" applyAlignment="1">
      <alignment horizontal="right"/>
    </xf>
    <xf numFmtId="0" fontId="1" fillId="0" borderId="24" xfId="0" applyFont="1" applyBorder="1" applyAlignment="1">
      <alignment horizontal="right"/>
    </xf>
    <xf numFmtId="0" fontId="6" fillId="2" borderId="35" xfId="0" applyFont="1" applyBorder="1" applyAlignment="1">
      <alignment horizontal="right"/>
    </xf>
    <xf numFmtId="0" fontId="6" fillId="2" borderId="36"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vertical="top"/>
    </xf>
    <xf numFmtId="0" fontId="1" fillId="0" borderId="60" xfId="0" applyFont="1" applyBorder="1" applyAlignment="1">
      <alignment horizontal="left" vertical="top" wrapText="1"/>
    </xf>
    <xf numFmtId="0" fontId="7" fillId="0" borderId="61" xfId="0" applyFont="1" applyBorder="1" applyAlignment="1">
      <alignment/>
    </xf>
    <xf numFmtId="0" fontId="7" fillId="0" borderId="62" xfId="0" applyFont="1" applyBorder="1" applyAlignment="1">
      <alignment/>
    </xf>
    <xf numFmtId="0" fontId="1" fillId="0" borderId="10" xfId="0" applyFont="1" applyBorder="1" applyAlignment="1">
      <alignmen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7" fillId="0" borderId="65" xfId="0" applyFont="1" applyBorder="1" applyAlignment="1">
      <alignment/>
    </xf>
    <xf numFmtId="0" fontId="7" fillId="0" borderId="66" xfId="0" applyFont="1" applyBorder="1" applyAlignment="1">
      <alignment/>
    </xf>
    <xf numFmtId="0" fontId="1" fillId="0" borderId="50" xfId="0" applyFont="1" applyBorder="1" applyAlignment="1">
      <alignment horizontal="left"/>
    </xf>
    <xf numFmtId="0" fontId="1" fillId="0" borderId="50" xfId="0" applyFont="1" applyBorder="1" applyAlignment="1">
      <alignment/>
    </xf>
    <xf numFmtId="0" fontId="1" fillId="0" borderId="5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0000A0"/>
      <rgbColor rgb="00EEBD15"/>
      <rgbColor rgb="008AA7D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60"/>
  <sheetViews>
    <sheetView tabSelected="1" workbookViewId="0" topLeftCell="A1">
      <selection activeCell="A1" sqref="A1"/>
    </sheetView>
  </sheetViews>
  <sheetFormatPr defaultColWidth="9.140625" defaultRowHeight="12.75" outlineLevelRow="1"/>
  <cols>
    <col min="1" max="1" width="4.00390625" style="0" bestFit="1" customWidth="1"/>
    <col min="2" max="2" width="32.28125" style="0" bestFit="1" customWidth="1"/>
    <col min="3" max="3" width="18.8515625" style="0" bestFit="1" customWidth="1"/>
    <col min="4" max="4" width="13.421875" style="0" bestFit="1" customWidth="1"/>
    <col min="5" max="5" width="14.57421875" style="0" bestFit="1" customWidth="1"/>
    <col min="6" max="6" width="17.7109375" style="0" bestFit="1" customWidth="1"/>
    <col min="7" max="7" width="18.8515625" style="0" bestFit="1" customWidth="1"/>
    <col min="8" max="8" width="13.421875" style="0" bestFit="1" customWidth="1"/>
    <col min="9" max="9" width="11.140625" style="0" bestFit="1" customWidth="1"/>
    <col min="10" max="10" width="14.7109375" style="0" bestFit="1" customWidth="1"/>
    <col min="11" max="12" width="16.7109375" style="0" bestFit="1" customWidth="1"/>
    <col min="13" max="13" width="23.57421875" style="0" bestFit="1" customWidth="1"/>
    <col min="14" max="14" width="10.57421875" style="0" bestFit="1" customWidth="1"/>
    <col min="15" max="15" width="24.7109375" style="0" bestFit="1" customWidth="1"/>
    <col min="16" max="16" width="27.140625" style="0" bestFit="1" customWidth="1"/>
    <col min="17" max="18" width="13.421875" style="0" bestFit="1" customWidth="1"/>
    <col min="19" max="19" width="14.140625" style="0" bestFit="1" customWidth="1"/>
    <col min="20" max="20" width="13.421875" style="0" bestFit="1" customWidth="1"/>
    <col min="21" max="21" width="15.8515625" style="0" bestFit="1" customWidth="1"/>
    <col min="22" max="22" width="17.28125" style="0" bestFit="1" customWidth="1"/>
    <col min="23" max="28" width="12.7109375" style="0" bestFit="1" customWidth="1"/>
    <col min="29" max="29" width="3.7109375" style="0" bestFit="1" customWidth="1"/>
    <col min="30" max="30" width="30.8515625" style="0" bestFit="1" customWidth="1"/>
    <col min="31" max="39" width="17.28125" style="0" bestFit="1" customWidth="1"/>
  </cols>
  <sheetData>
    <row r="1" spans="1:39" ht="13.5" customHeight="1">
      <c r="A1" s="1"/>
      <c r="B1" s="2" t="s">
        <v>0</v>
      </c>
      <c r="C1" s="3"/>
      <c r="D1" s="3"/>
      <c r="E1" s="3"/>
      <c r="F1" s="3"/>
      <c r="G1" s="4"/>
      <c r="H1" s="4"/>
      <c r="I1" s="4"/>
      <c r="J1" s="3"/>
      <c r="K1" s="4"/>
      <c r="L1" s="4"/>
      <c r="M1" s="4"/>
      <c r="N1" s="3"/>
      <c r="O1" s="3"/>
      <c r="P1" s="4"/>
      <c r="Q1" s="4"/>
      <c r="R1" s="4"/>
      <c r="S1" s="4"/>
      <c r="T1" s="4"/>
      <c r="U1" s="4"/>
      <c r="V1" s="3"/>
      <c r="W1" s="3"/>
      <c r="X1" s="3"/>
      <c r="Y1" s="3"/>
      <c r="Z1" s="3"/>
      <c r="AA1" s="3"/>
      <c r="AB1" s="3"/>
      <c r="AC1" s="3"/>
      <c r="AD1" s="3"/>
      <c r="AE1" s="3"/>
      <c r="AF1" s="3"/>
      <c r="AG1" s="3"/>
      <c r="AH1" s="3"/>
      <c r="AI1" s="3"/>
      <c r="AJ1" s="3"/>
      <c r="AK1" s="3"/>
      <c r="AL1" s="3"/>
      <c r="AM1" s="3"/>
    </row>
    <row r="2" spans="1:39" ht="13.5" customHeight="1" outlineLevel="1">
      <c r="A2" s="5"/>
      <c r="B2" s="6" t="s">
        <v>1</v>
      </c>
      <c r="C2" s="7"/>
      <c r="D2" s="7"/>
      <c r="E2" s="7"/>
      <c r="F2" s="7"/>
      <c r="G2" s="8"/>
      <c r="H2" s="8"/>
      <c r="I2" s="8"/>
      <c r="J2" s="7"/>
      <c r="K2" s="8"/>
      <c r="L2" s="8"/>
      <c r="M2" s="8"/>
      <c r="N2" s="7"/>
      <c r="O2" s="7"/>
      <c r="P2" s="8"/>
      <c r="Q2" s="8"/>
      <c r="R2" s="8"/>
      <c r="S2" s="8"/>
      <c r="T2" s="8"/>
      <c r="U2" s="8"/>
      <c r="V2" s="7"/>
      <c r="W2" s="7"/>
      <c r="X2" s="7"/>
      <c r="Y2" s="7"/>
      <c r="Z2" s="7"/>
      <c r="AA2" s="7"/>
      <c r="AB2" s="7"/>
      <c r="AC2" s="7"/>
      <c r="AD2" s="7"/>
      <c r="AE2" s="7"/>
      <c r="AF2" s="7"/>
      <c r="AG2" s="7"/>
      <c r="AH2" s="7"/>
      <c r="AI2" s="7"/>
      <c r="AJ2" s="7"/>
      <c r="AK2" s="7"/>
      <c r="AL2" s="7"/>
      <c r="AM2" s="7"/>
    </row>
    <row r="3" spans="1:39" ht="13.5" customHeight="1" outlineLevel="1">
      <c r="A3" s="9"/>
      <c r="B3" s="10" t="s">
        <v>0</v>
      </c>
      <c r="C3" s="10"/>
      <c r="D3" s="10"/>
      <c r="E3" s="10"/>
      <c r="F3" s="10"/>
      <c r="G3" s="11"/>
      <c r="H3" s="11"/>
      <c r="I3" s="11"/>
      <c r="J3" s="10"/>
      <c r="K3" s="11"/>
      <c r="L3" s="11"/>
      <c r="M3" s="11"/>
      <c r="N3" s="10"/>
      <c r="O3" s="10"/>
      <c r="P3" s="11"/>
      <c r="Q3" s="11"/>
      <c r="R3" s="11"/>
      <c r="S3" s="11"/>
      <c r="T3" s="11"/>
      <c r="U3" s="11"/>
      <c r="V3" s="10"/>
      <c r="W3" s="10"/>
      <c r="X3" s="10"/>
      <c r="Y3" s="10"/>
      <c r="Z3" s="10"/>
      <c r="AA3" s="10"/>
      <c r="AB3" s="10"/>
      <c r="AC3" s="10"/>
      <c r="AD3" s="10"/>
      <c r="AE3" s="10"/>
      <c r="AF3" s="10"/>
      <c r="AG3" s="10"/>
      <c r="AH3" s="10"/>
      <c r="AI3" s="10"/>
      <c r="AJ3" s="10"/>
      <c r="AK3" s="10"/>
      <c r="AL3" s="10"/>
      <c r="AM3" s="10"/>
    </row>
    <row r="4" spans="1:39" ht="13.5" customHeight="1" outlineLevel="1">
      <c r="A4" s="12"/>
      <c r="B4" s="2" t="s">
        <v>2</v>
      </c>
      <c r="C4" s="3"/>
      <c r="D4" s="3"/>
      <c r="E4" s="3"/>
      <c r="F4" s="3"/>
      <c r="G4" s="4"/>
      <c r="H4" s="4"/>
      <c r="I4" s="4"/>
      <c r="J4" s="3"/>
      <c r="K4" s="4"/>
      <c r="L4" s="4"/>
      <c r="M4" s="4"/>
      <c r="N4" s="3"/>
      <c r="O4" s="3"/>
      <c r="P4" s="4"/>
      <c r="Q4" s="4"/>
      <c r="R4" s="4"/>
      <c r="S4" s="4"/>
      <c r="T4" s="4"/>
      <c r="U4" s="4"/>
      <c r="V4" s="3"/>
      <c r="W4" s="3"/>
      <c r="X4" s="3"/>
      <c r="Y4" s="3"/>
      <c r="Z4" s="3"/>
      <c r="AA4" s="3"/>
      <c r="AB4" s="3"/>
      <c r="AC4" s="3"/>
      <c r="AD4" s="3"/>
      <c r="AE4" s="3"/>
      <c r="AF4" s="3"/>
      <c r="AG4" s="3"/>
      <c r="AH4" s="3"/>
      <c r="AI4" s="3"/>
      <c r="AJ4" s="3"/>
      <c r="AK4" s="3"/>
      <c r="AL4" s="3"/>
      <c r="AM4" s="3"/>
    </row>
    <row r="5" spans="1:39" ht="13.5" customHeight="1" outlineLevel="1">
      <c r="A5" s="12"/>
      <c r="B5" s="2" t="s">
        <v>3</v>
      </c>
      <c r="C5" s="3"/>
      <c r="D5" s="3"/>
      <c r="E5" s="3"/>
      <c r="F5" s="3"/>
      <c r="G5" s="4"/>
      <c r="H5" s="4"/>
      <c r="I5" s="4"/>
      <c r="J5" s="3"/>
      <c r="K5" s="4"/>
      <c r="L5" s="4"/>
      <c r="M5" s="4"/>
      <c r="N5" s="3"/>
      <c r="O5" s="3"/>
      <c r="P5" s="4"/>
      <c r="Q5" s="4"/>
      <c r="R5" s="4"/>
      <c r="S5" s="4"/>
      <c r="T5" s="4"/>
      <c r="U5" s="4"/>
      <c r="V5" s="3"/>
      <c r="W5" s="3"/>
      <c r="X5" s="3"/>
      <c r="Y5" s="3"/>
      <c r="Z5" s="3"/>
      <c r="AA5" s="3"/>
      <c r="AB5" s="3"/>
      <c r="AC5" s="3"/>
      <c r="AD5" s="3"/>
      <c r="AE5" s="3"/>
      <c r="AF5" s="3"/>
      <c r="AG5" s="3"/>
      <c r="AH5" s="3"/>
      <c r="AI5" s="3"/>
      <c r="AJ5" s="3"/>
      <c r="AK5" s="3"/>
      <c r="AL5" s="3"/>
      <c r="AM5" s="3"/>
    </row>
    <row r="6" spans="1:39" ht="13.5" customHeight="1" outlineLevel="1">
      <c r="A6" s="12"/>
      <c r="B6" s="2" t="s">
        <v>0</v>
      </c>
      <c r="C6" s="3"/>
      <c r="D6" s="3"/>
      <c r="E6" s="3"/>
      <c r="F6" s="3"/>
      <c r="G6" s="4"/>
      <c r="H6" s="4"/>
      <c r="I6" s="4"/>
      <c r="J6" s="3"/>
      <c r="K6" s="4"/>
      <c r="L6" s="4"/>
      <c r="M6" s="4"/>
      <c r="N6" s="3"/>
      <c r="O6" s="3"/>
      <c r="P6" s="4"/>
      <c r="Q6" s="4"/>
      <c r="R6" s="4"/>
      <c r="S6" s="4"/>
      <c r="T6" s="4"/>
      <c r="U6" s="4"/>
      <c r="V6" s="3"/>
      <c r="W6" s="3"/>
      <c r="X6" s="3"/>
      <c r="Y6" s="3"/>
      <c r="Z6" s="3"/>
      <c r="AA6" s="3"/>
      <c r="AB6" s="3"/>
      <c r="AC6" s="3"/>
      <c r="AD6" s="3"/>
      <c r="AE6" s="3"/>
      <c r="AF6" s="3"/>
      <c r="AG6" s="3"/>
      <c r="AH6" s="3"/>
      <c r="AI6" s="3"/>
      <c r="AJ6" s="3"/>
      <c r="AK6" s="3"/>
      <c r="AL6" s="3"/>
      <c r="AM6" s="3"/>
    </row>
    <row r="7" spans="1:39" ht="13.5" customHeight="1" outlineLevel="1">
      <c r="A7" s="12"/>
      <c r="B7" s="2" t="s">
        <v>4</v>
      </c>
      <c r="C7" s="3"/>
      <c r="D7" s="3"/>
      <c r="E7" s="3"/>
      <c r="F7" s="3"/>
      <c r="G7" s="4"/>
      <c r="H7" s="4"/>
      <c r="I7" s="4"/>
      <c r="J7" s="3"/>
      <c r="K7" s="4"/>
      <c r="L7" s="4"/>
      <c r="M7" s="4"/>
      <c r="N7" s="3"/>
      <c r="O7" s="3"/>
      <c r="P7" s="4"/>
      <c r="Q7" s="4"/>
      <c r="R7" s="4"/>
      <c r="S7" s="4"/>
      <c r="T7" s="4"/>
      <c r="U7" s="4"/>
      <c r="V7" s="3"/>
      <c r="W7" s="3"/>
      <c r="X7" s="3"/>
      <c r="Y7" s="3"/>
      <c r="Z7" s="3"/>
      <c r="AA7" s="3"/>
      <c r="AB7" s="3"/>
      <c r="AC7" s="3"/>
      <c r="AD7" s="3"/>
      <c r="AE7" s="3"/>
      <c r="AF7" s="3"/>
      <c r="AG7" s="3"/>
      <c r="AH7" s="3"/>
      <c r="AI7" s="3"/>
      <c r="AJ7" s="3"/>
      <c r="AK7" s="3"/>
      <c r="AL7" s="3"/>
      <c r="AM7" s="3"/>
    </row>
    <row r="8" spans="1:39" ht="13.5" customHeight="1" outlineLevel="1">
      <c r="A8" s="12"/>
      <c r="B8" s="2" t="s">
        <v>5</v>
      </c>
      <c r="C8" s="13" t="s">
        <v>6</v>
      </c>
      <c r="D8" s="3"/>
      <c r="E8" s="3"/>
      <c r="F8" s="3"/>
      <c r="G8" s="4"/>
      <c r="H8" s="4"/>
      <c r="I8" s="4"/>
      <c r="J8" s="3"/>
      <c r="K8" s="4"/>
      <c r="L8" s="4"/>
      <c r="M8" s="4"/>
      <c r="N8" s="3"/>
      <c r="O8" s="3"/>
      <c r="P8" s="4"/>
      <c r="Q8" s="4"/>
      <c r="R8" s="4"/>
      <c r="S8" s="4"/>
      <c r="T8" s="4"/>
      <c r="U8" s="4"/>
      <c r="V8" s="3"/>
      <c r="W8" s="3"/>
      <c r="X8" s="3"/>
      <c r="Y8" s="3"/>
      <c r="Z8" s="3"/>
      <c r="AA8" s="3"/>
      <c r="AB8" s="3"/>
      <c r="AC8" s="3"/>
      <c r="AD8" s="3"/>
      <c r="AE8" s="3"/>
      <c r="AF8" s="3"/>
      <c r="AG8" s="3"/>
      <c r="AH8" s="3"/>
      <c r="AI8" s="3"/>
      <c r="AJ8" s="3"/>
      <c r="AK8" s="3"/>
      <c r="AL8" s="3"/>
      <c r="AM8" s="3"/>
    </row>
    <row r="9" spans="1:39" ht="13.5" customHeight="1" outlineLevel="1">
      <c r="A9" s="12"/>
      <c r="B9" s="2" t="s">
        <v>7</v>
      </c>
      <c r="C9" s="13" t="s">
        <v>8</v>
      </c>
      <c r="D9" s="3"/>
      <c r="E9" s="3"/>
      <c r="F9" s="3"/>
      <c r="G9" s="4"/>
      <c r="H9" s="4"/>
      <c r="I9" s="4"/>
      <c r="J9" s="3"/>
      <c r="K9" s="4"/>
      <c r="L9" s="4"/>
      <c r="M9" s="4"/>
      <c r="N9" s="3"/>
      <c r="O9" s="3"/>
      <c r="P9" s="4"/>
      <c r="Q9" s="4"/>
      <c r="R9" s="4"/>
      <c r="S9" s="4"/>
      <c r="T9" s="4"/>
      <c r="U9" s="4"/>
      <c r="V9" s="3"/>
      <c r="W9" s="3"/>
      <c r="X9" s="3"/>
      <c r="Y9" s="3"/>
      <c r="Z9" s="3"/>
      <c r="AA9" s="3"/>
      <c r="AB9" s="3"/>
      <c r="AC9" s="3"/>
      <c r="AD9" s="3"/>
      <c r="AE9" s="3"/>
      <c r="AF9" s="3"/>
      <c r="AG9" s="3"/>
      <c r="AH9" s="3"/>
      <c r="AI9" s="3"/>
      <c r="AJ9" s="3"/>
      <c r="AK9" s="3"/>
      <c r="AL9" s="3"/>
      <c r="AM9" s="3"/>
    </row>
    <row r="10" spans="1:39" ht="19.5" customHeight="1" outlineLevel="1">
      <c r="A10" s="14"/>
      <c r="B10" s="6" t="s">
        <v>9</v>
      </c>
      <c r="C10" s="15"/>
      <c r="D10" s="15"/>
      <c r="E10" s="15"/>
      <c r="F10" s="15"/>
      <c r="G10" s="16"/>
      <c r="H10" s="16"/>
      <c r="I10" s="16"/>
      <c r="J10" s="15"/>
      <c r="K10" s="16"/>
      <c r="L10" s="16"/>
      <c r="M10" s="16"/>
      <c r="N10" s="15"/>
      <c r="O10" s="15"/>
      <c r="P10" s="16"/>
      <c r="Q10" s="16"/>
      <c r="R10" s="16"/>
      <c r="S10" s="16"/>
      <c r="T10" s="16"/>
      <c r="U10" s="16"/>
      <c r="V10" s="15"/>
      <c r="W10" s="15"/>
      <c r="X10" s="15"/>
      <c r="Y10" s="15"/>
      <c r="Z10" s="15"/>
      <c r="AA10" s="15"/>
      <c r="AB10" s="15"/>
      <c r="AC10" s="15"/>
      <c r="AD10" s="15"/>
      <c r="AE10" s="15"/>
      <c r="AF10" s="15"/>
      <c r="AG10" s="15"/>
      <c r="AH10" s="15"/>
      <c r="AI10" s="15"/>
      <c r="AJ10" s="15"/>
      <c r="AK10" s="15"/>
      <c r="AL10" s="15"/>
      <c r="AM10" s="15"/>
    </row>
    <row r="11" spans="1:39" ht="13.5" customHeight="1" outlineLevel="1">
      <c r="A11" s="1"/>
      <c r="B11" s="17" t="s">
        <v>0</v>
      </c>
      <c r="C11" s="3"/>
      <c r="D11" s="3"/>
      <c r="E11" s="3"/>
      <c r="F11" s="3"/>
      <c r="G11" s="4"/>
      <c r="H11" s="4"/>
      <c r="I11" s="4"/>
      <c r="J11" s="3"/>
      <c r="K11" s="4"/>
      <c r="L11" s="4"/>
      <c r="M11" s="4"/>
      <c r="N11" s="3"/>
      <c r="O11" s="3"/>
      <c r="P11" s="4"/>
      <c r="Q11" s="4"/>
      <c r="R11" s="4"/>
      <c r="S11" s="4"/>
      <c r="T11" s="4"/>
      <c r="U11" s="4"/>
      <c r="V11" s="3"/>
      <c r="W11" s="3"/>
      <c r="X11" s="3"/>
      <c r="Y11" s="3"/>
      <c r="Z11" s="3"/>
      <c r="AA11" s="3"/>
      <c r="AB11" s="3"/>
      <c r="AC11" s="3"/>
      <c r="AD11" s="3"/>
      <c r="AE11" s="3"/>
      <c r="AF11" s="3"/>
      <c r="AG11" s="3"/>
      <c r="AH11" s="3"/>
      <c r="AI11" s="3"/>
      <c r="AJ11" s="3"/>
      <c r="AK11" s="3"/>
      <c r="AL11" s="3"/>
      <c r="AM11" s="3"/>
    </row>
    <row r="12" spans="1:39" ht="23.25" customHeight="1" outlineLevel="1">
      <c r="A12" s="1"/>
      <c r="B12" s="18" t="s">
        <v>10</v>
      </c>
      <c r="C12" s="19" t="s">
        <v>11</v>
      </c>
      <c r="D12" s="3"/>
      <c r="E12" s="3"/>
      <c r="F12" s="3"/>
      <c r="G12" s="4"/>
      <c r="H12" s="4"/>
      <c r="I12" s="4"/>
      <c r="J12" s="3"/>
      <c r="K12" s="4"/>
      <c r="L12" s="4"/>
      <c r="M12" s="4"/>
      <c r="N12" s="3"/>
      <c r="O12" s="3"/>
      <c r="P12" s="4"/>
      <c r="Q12" s="4"/>
      <c r="R12" s="4"/>
      <c r="S12" s="4"/>
      <c r="T12" s="4"/>
      <c r="U12" s="4"/>
      <c r="V12" s="3"/>
      <c r="W12" s="3"/>
      <c r="X12" s="3"/>
      <c r="Y12" s="3"/>
      <c r="Z12" s="3"/>
      <c r="AA12" s="3"/>
      <c r="AB12" s="3"/>
      <c r="AC12" s="3"/>
      <c r="AD12" s="3"/>
      <c r="AE12" s="3"/>
      <c r="AF12" s="3"/>
      <c r="AG12" s="3"/>
      <c r="AH12" s="3"/>
      <c r="AI12" s="3"/>
      <c r="AJ12" s="3"/>
      <c r="AK12" s="3"/>
      <c r="AL12" s="3"/>
      <c r="AM12" s="3"/>
    </row>
    <row r="13" spans="1:39" ht="13.5" customHeight="1" outlineLevel="1">
      <c r="A13" s="1"/>
      <c r="B13" s="20" t="s">
        <v>12</v>
      </c>
      <c r="C13" s="21" t="s">
        <v>13</v>
      </c>
      <c r="D13" s="3"/>
      <c r="E13" s="3"/>
      <c r="F13" s="3"/>
      <c r="G13" s="4"/>
      <c r="H13" s="4"/>
      <c r="I13" s="4"/>
      <c r="J13" s="3"/>
      <c r="K13" s="4"/>
      <c r="L13" s="4"/>
      <c r="M13" s="4"/>
      <c r="N13" s="3"/>
      <c r="O13" s="3"/>
      <c r="P13" s="4"/>
      <c r="Q13" s="4"/>
      <c r="R13" s="4"/>
      <c r="S13" s="4"/>
      <c r="T13" s="4"/>
      <c r="U13" s="4"/>
      <c r="V13" s="3"/>
      <c r="W13" s="3"/>
      <c r="X13" s="3"/>
      <c r="Y13" s="3"/>
      <c r="Z13" s="3"/>
      <c r="AA13" s="3"/>
      <c r="AB13" s="3"/>
      <c r="AC13" s="3"/>
      <c r="AD13" s="3"/>
      <c r="AE13" s="3"/>
      <c r="AF13" s="3"/>
      <c r="AG13" s="3"/>
      <c r="AH13" s="3"/>
      <c r="AI13" s="3"/>
      <c r="AJ13" s="3"/>
      <c r="AK13" s="3"/>
      <c r="AL13" s="3"/>
      <c r="AM13" s="3"/>
    </row>
    <row r="14" spans="1:39" ht="13.5" customHeight="1" outlineLevel="1">
      <c r="A14" s="1"/>
      <c r="B14" s="20" t="s">
        <v>14</v>
      </c>
      <c r="C14" s="21" t="s">
        <v>15</v>
      </c>
      <c r="D14" s="3"/>
      <c r="E14" s="3"/>
      <c r="F14" s="3"/>
      <c r="G14" s="4"/>
      <c r="H14" s="4"/>
      <c r="I14" s="4"/>
      <c r="J14" s="3"/>
      <c r="K14" s="4"/>
      <c r="L14" s="4"/>
      <c r="M14" s="4"/>
      <c r="N14" s="3"/>
      <c r="O14" s="3"/>
      <c r="P14" s="4"/>
      <c r="Q14" s="4"/>
      <c r="R14" s="4"/>
      <c r="S14" s="4"/>
      <c r="T14" s="4"/>
      <c r="U14" s="4"/>
      <c r="V14" s="3"/>
      <c r="W14" s="3"/>
      <c r="X14" s="3"/>
      <c r="Y14" s="3"/>
      <c r="Z14" s="3"/>
      <c r="AA14" s="3"/>
      <c r="AB14" s="3"/>
      <c r="AC14" s="3"/>
      <c r="AD14" s="3"/>
      <c r="AE14" s="3"/>
      <c r="AF14" s="3"/>
      <c r="AG14" s="3"/>
      <c r="AH14" s="3"/>
      <c r="AI14" s="3"/>
      <c r="AJ14" s="3"/>
      <c r="AK14" s="3"/>
      <c r="AL14" s="3"/>
      <c r="AM14" s="3"/>
    </row>
    <row r="15" spans="1:39" ht="13.5" customHeight="1" outlineLevel="1">
      <c r="A15" s="1"/>
      <c r="B15" s="20" t="s">
        <v>16</v>
      </c>
      <c r="C15" s="21" t="s">
        <v>17</v>
      </c>
      <c r="D15" s="3"/>
      <c r="E15" s="3"/>
      <c r="F15" s="3"/>
      <c r="G15" s="4"/>
      <c r="H15" s="4"/>
      <c r="I15" s="4"/>
      <c r="J15" s="3"/>
      <c r="K15" s="4"/>
      <c r="L15" s="4"/>
      <c r="M15" s="4"/>
      <c r="N15" s="3"/>
      <c r="O15" s="3"/>
      <c r="P15" s="4"/>
      <c r="Q15" s="4"/>
      <c r="R15" s="4"/>
      <c r="S15" s="4"/>
      <c r="T15" s="4"/>
      <c r="U15" s="4"/>
      <c r="V15" s="3"/>
      <c r="W15" s="3"/>
      <c r="X15" s="3"/>
      <c r="Y15" s="3"/>
      <c r="Z15" s="3"/>
      <c r="AA15" s="3"/>
      <c r="AB15" s="3"/>
      <c r="AC15" s="3"/>
      <c r="AD15" s="3"/>
      <c r="AE15" s="3"/>
      <c r="AF15" s="3"/>
      <c r="AG15" s="3"/>
      <c r="AH15" s="3"/>
      <c r="AI15" s="3"/>
      <c r="AJ15" s="3"/>
      <c r="AK15" s="3"/>
      <c r="AL15" s="3"/>
      <c r="AM15" s="3"/>
    </row>
    <row r="16" spans="1:39" ht="13.5" customHeight="1" outlineLevel="1">
      <c r="A16" s="1"/>
      <c r="B16" s="20" t="s">
        <v>18</v>
      </c>
      <c r="C16" s="22">
        <v>335913</v>
      </c>
      <c r="D16" s="3"/>
      <c r="E16" s="3"/>
      <c r="F16" s="3"/>
      <c r="G16" s="4"/>
      <c r="H16" s="4"/>
      <c r="I16" s="4"/>
      <c r="J16" s="3"/>
      <c r="K16" s="4"/>
      <c r="L16" s="4"/>
      <c r="M16" s="4"/>
      <c r="N16" s="3"/>
      <c r="O16" s="3"/>
      <c r="P16" s="4"/>
      <c r="Q16" s="4"/>
      <c r="R16" s="4"/>
      <c r="S16" s="4"/>
      <c r="T16" s="4"/>
      <c r="U16" s="4"/>
      <c r="V16" s="3"/>
      <c r="W16" s="3"/>
      <c r="X16" s="3"/>
      <c r="Y16" s="3"/>
      <c r="Z16" s="3"/>
      <c r="AA16" s="3"/>
      <c r="AB16" s="3"/>
      <c r="AC16" s="3"/>
      <c r="AD16" s="3"/>
      <c r="AE16" s="3"/>
      <c r="AF16" s="3"/>
      <c r="AG16" s="3"/>
      <c r="AH16" s="3"/>
      <c r="AI16" s="3"/>
      <c r="AJ16" s="3"/>
      <c r="AK16" s="3"/>
      <c r="AL16" s="3"/>
      <c r="AM16" s="3"/>
    </row>
    <row r="17" spans="1:39" ht="13.5" customHeight="1" outlineLevel="1">
      <c r="A17" s="1"/>
      <c r="B17" s="20" t="s">
        <v>19</v>
      </c>
      <c r="C17" s="22">
        <v>1286446.98</v>
      </c>
      <c r="D17" s="3"/>
      <c r="E17" s="3"/>
      <c r="F17" s="3"/>
      <c r="G17" s="4"/>
      <c r="H17" s="4"/>
      <c r="I17" s="4"/>
      <c r="J17" s="3"/>
      <c r="K17" s="4"/>
      <c r="L17" s="4"/>
      <c r="M17" s="4"/>
      <c r="N17" s="3"/>
      <c r="O17" s="3"/>
      <c r="P17" s="4"/>
      <c r="Q17" s="4"/>
      <c r="R17" s="4"/>
      <c r="S17" s="4"/>
      <c r="T17" s="4"/>
      <c r="U17" s="4"/>
      <c r="V17" s="3"/>
      <c r="W17" s="3"/>
      <c r="X17" s="3"/>
      <c r="Y17" s="3"/>
      <c r="Z17" s="3"/>
      <c r="AA17" s="3"/>
      <c r="AB17" s="3"/>
      <c r="AC17" s="3"/>
      <c r="AD17" s="3"/>
      <c r="AE17" s="3"/>
      <c r="AF17" s="3"/>
      <c r="AG17" s="3"/>
      <c r="AH17" s="3"/>
      <c r="AI17" s="3"/>
      <c r="AJ17" s="3"/>
      <c r="AK17" s="3"/>
      <c r="AL17" s="3"/>
      <c r="AM17" s="3"/>
    </row>
    <row r="18" spans="1:39" ht="13.5" customHeight="1" outlineLevel="1">
      <c r="A18" s="1"/>
      <c r="B18" s="20" t="s">
        <v>20</v>
      </c>
      <c r="C18" s="21">
        <v>715682.6</v>
      </c>
      <c r="D18" s="3"/>
      <c r="E18" s="3"/>
      <c r="F18" s="3"/>
      <c r="G18" s="4"/>
      <c r="H18" s="4"/>
      <c r="I18" s="4"/>
      <c r="J18" s="3"/>
      <c r="K18" s="4"/>
      <c r="L18" s="4"/>
      <c r="M18" s="4"/>
      <c r="N18" s="3"/>
      <c r="O18" s="3"/>
      <c r="P18" s="4"/>
      <c r="Q18" s="4"/>
      <c r="R18" s="4"/>
      <c r="S18" s="4"/>
      <c r="T18" s="4"/>
      <c r="U18" s="4"/>
      <c r="V18" s="3"/>
      <c r="W18" s="3"/>
      <c r="X18" s="3"/>
      <c r="Y18" s="3"/>
      <c r="Z18" s="3"/>
      <c r="AA18" s="3"/>
      <c r="AB18" s="3"/>
      <c r="AC18" s="3"/>
      <c r="AD18" s="3"/>
      <c r="AE18" s="3"/>
      <c r="AF18" s="3"/>
      <c r="AG18" s="3"/>
      <c r="AH18" s="3"/>
      <c r="AI18" s="3"/>
      <c r="AJ18" s="3"/>
      <c r="AK18" s="3"/>
      <c r="AL18" s="3"/>
      <c r="AM18" s="3"/>
    </row>
    <row r="19" spans="1:39" ht="13.5" customHeight="1" outlineLevel="1">
      <c r="A19" s="1"/>
      <c r="B19" s="20" t="s">
        <v>21</v>
      </c>
      <c r="C19" s="22">
        <v>3.8297</v>
      </c>
      <c r="D19" s="3"/>
      <c r="E19" s="3"/>
      <c r="F19" s="3"/>
      <c r="G19" s="4"/>
      <c r="H19" s="4"/>
      <c r="I19" s="4"/>
      <c r="J19" s="3"/>
      <c r="K19" s="4"/>
      <c r="L19" s="4"/>
      <c r="M19" s="4"/>
      <c r="N19" s="3"/>
      <c r="O19" s="3"/>
      <c r="P19" s="4"/>
      <c r="Q19" s="4"/>
      <c r="R19" s="4"/>
      <c r="S19" s="4"/>
      <c r="T19" s="4"/>
      <c r="U19" s="4"/>
      <c r="V19" s="3"/>
      <c r="W19" s="3"/>
      <c r="X19" s="3"/>
      <c r="Y19" s="3"/>
      <c r="Z19" s="3"/>
      <c r="AA19" s="3"/>
      <c r="AB19" s="3"/>
      <c r="AC19" s="3"/>
      <c r="AD19" s="3"/>
      <c r="AE19" s="3"/>
      <c r="AF19" s="3"/>
      <c r="AG19" s="3"/>
      <c r="AH19" s="3"/>
      <c r="AI19" s="3"/>
      <c r="AJ19" s="3"/>
      <c r="AK19" s="3"/>
      <c r="AL19" s="3"/>
      <c r="AM19" s="3"/>
    </row>
    <row r="20" spans="1:39" ht="19.5" customHeight="1" outlineLevel="1">
      <c r="A20" s="1"/>
      <c r="B20" s="23" t="s">
        <v>22</v>
      </c>
      <c r="C20" s="24" t="s">
        <v>23</v>
      </c>
      <c r="D20" s="3"/>
      <c r="E20" s="3"/>
      <c r="F20" s="3"/>
      <c r="G20" s="4"/>
      <c r="H20" s="4"/>
      <c r="I20" s="4"/>
      <c r="J20" s="3"/>
      <c r="K20" s="4"/>
      <c r="L20" s="4"/>
      <c r="M20" s="4"/>
      <c r="N20" s="3"/>
      <c r="O20" s="3"/>
      <c r="P20" s="4"/>
      <c r="Q20" s="4"/>
      <c r="R20" s="4"/>
      <c r="S20" s="4"/>
      <c r="T20" s="4"/>
      <c r="U20" s="4"/>
      <c r="V20" s="3"/>
      <c r="W20" s="3"/>
      <c r="X20" s="3"/>
      <c r="Y20" s="3"/>
      <c r="Z20" s="3"/>
      <c r="AA20" s="3"/>
      <c r="AB20" s="3"/>
      <c r="AC20" s="3"/>
      <c r="AD20" s="3"/>
      <c r="AE20" s="3"/>
      <c r="AF20" s="3"/>
      <c r="AG20" s="3"/>
      <c r="AH20" s="3"/>
      <c r="AI20" s="3"/>
      <c r="AJ20" s="3"/>
      <c r="AK20" s="3"/>
      <c r="AL20" s="3"/>
      <c r="AM20" s="3"/>
    </row>
    <row r="21" spans="1:39" ht="19.5" customHeight="1" outlineLevel="1">
      <c r="A21" s="1"/>
      <c r="B21" s="25" t="s">
        <v>24</v>
      </c>
      <c r="C21" s="24" t="s">
        <v>23</v>
      </c>
      <c r="D21" s="3"/>
      <c r="E21" s="3"/>
      <c r="F21" s="3"/>
      <c r="G21" s="4"/>
      <c r="H21" s="4"/>
      <c r="I21" s="4"/>
      <c r="J21" s="3"/>
      <c r="K21" s="4"/>
      <c r="L21" s="4"/>
      <c r="M21" s="4"/>
      <c r="N21" s="3"/>
      <c r="O21" s="3"/>
      <c r="P21" s="4"/>
      <c r="Q21" s="4"/>
      <c r="R21" s="4"/>
      <c r="S21" s="4"/>
      <c r="T21" s="4"/>
      <c r="U21" s="4"/>
      <c r="V21" s="3"/>
      <c r="W21" s="3"/>
      <c r="X21" s="3"/>
      <c r="Y21" s="3"/>
      <c r="Z21" s="3"/>
      <c r="AA21" s="3"/>
      <c r="AB21" s="3"/>
      <c r="AC21" s="3"/>
      <c r="AD21" s="26" t="s">
        <v>25</v>
      </c>
      <c r="AE21" s="27"/>
      <c r="AF21" s="27"/>
      <c r="AG21" s="27"/>
      <c r="AH21" s="27"/>
      <c r="AI21" s="27"/>
      <c r="AJ21" s="27"/>
      <c r="AK21" s="27"/>
      <c r="AL21" s="28"/>
      <c r="AM21" s="3"/>
    </row>
    <row r="22" spans="1:39" ht="19.5" customHeight="1" outlineLevel="1">
      <c r="A22" s="1"/>
      <c r="B22" s="17" t="s">
        <v>0</v>
      </c>
      <c r="C22" s="3"/>
      <c r="D22" s="3"/>
      <c r="E22" s="3"/>
      <c r="F22" s="3"/>
      <c r="G22" s="4"/>
      <c r="H22" s="4"/>
      <c r="I22" s="4"/>
      <c r="J22" s="3"/>
      <c r="K22" s="4"/>
      <c r="L22" s="4"/>
      <c r="M22" s="4"/>
      <c r="N22" s="3"/>
      <c r="O22" s="3"/>
      <c r="P22" s="4"/>
      <c r="Q22" s="4"/>
      <c r="R22" s="29" t="s">
        <v>26</v>
      </c>
      <c r="S22" s="4"/>
      <c r="T22" s="4"/>
      <c r="U22" s="29" t="s">
        <v>27</v>
      </c>
      <c r="V22" s="3"/>
      <c r="W22" s="3"/>
      <c r="X22" s="3"/>
      <c r="Y22" s="3"/>
      <c r="Z22" s="3"/>
      <c r="AA22" s="3"/>
      <c r="AB22" s="3"/>
      <c r="AC22" s="3"/>
      <c r="AD22" s="3"/>
      <c r="AE22" s="3"/>
      <c r="AF22" s="3"/>
      <c r="AG22" s="3"/>
      <c r="AH22" s="3"/>
      <c r="AI22" s="3"/>
      <c r="AJ22" s="3"/>
      <c r="AK22" s="3"/>
      <c r="AL22" s="3"/>
      <c r="AM22" s="3"/>
    </row>
    <row r="23" spans="1:39" ht="71.25" customHeight="1" outlineLevel="1">
      <c r="A23" s="30"/>
      <c r="B23" s="31" t="s">
        <v>28</v>
      </c>
      <c r="C23" s="32" t="s">
        <v>10</v>
      </c>
      <c r="D23" s="32" t="s">
        <v>14</v>
      </c>
      <c r="E23" s="32" t="s">
        <v>29</v>
      </c>
      <c r="F23" s="32" t="s">
        <v>30</v>
      </c>
      <c r="G23" s="33" t="s">
        <v>31</v>
      </c>
      <c r="H23" s="34" t="s">
        <v>32</v>
      </c>
      <c r="I23" s="34" t="s">
        <v>33</v>
      </c>
      <c r="J23" s="35" t="s">
        <v>34</v>
      </c>
      <c r="K23" s="34" t="s">
        <v>35</v>
      </c>
      <c r="L23" s="34" t="s">
        <v>36</v>
      </c>
      <c r="M23" s="34" t="s">
        <v>37</v>
      </c>
      <c r="N23" s="35" t="s">
        <v>38</v>
      </c>
      <c r="O23" s="35" t="s">
        <v>39</v>
      </c>
      <c r="P23" s="36"/>
      <c r="Q23" s="37" t="s">
        <v>40</v>
      </c>
      <c r="R23" s="38" t="s">
        <v>41</v>
      </c>
      <c r="S23" s="39" t="s">
        <v>42</v>
      </c>
      <c r="T23" s="40" t="s">
        <v>43</v>
      </c>
      <c r="U23" s="40" t="s">
        <v>44</v>
      </c>
      <c r="V23" s="39" t="s">
        <v>45</v>
      </c>
      <c r="W23" s="40" t="s">
        <v>46</v>
      </c>
      <c r="X23" s="41" t="s">
        <v>47</v>
      </c>
      <c r="Y23" s="39" t="s">
        <v>48</v>
      </c>
      <c r="Z23" s="40" t="s">
        <v>49</v>
      </c>
      <c r="AA23" s="40" t="s">
        <v>50</v>
      </c>
      <c r="AB23" s="39" t="s">
        <v>51</v>
      </c>
      <c r="AC23" s="42"/>
      <c r="AD23" s="35" t="s">
        <v>52</v>
      </c>
      <c r="AE23" s="35" t="s">
        <v>53</v>
      </c>
      <c r="AF23" s="35" t="s">
        <v>54</v>
      </c>
      <c r="AG23" s="35" t="s">
        <v>55</v>
      </c>
      <c r="AH23" s="34" t="s">
        <v>56</v>
      </c>
      <c r="AI23" s="35" t="s">
        <v>57</v>
      </c>
      <c r="AJ23" s="35" t="s">
        <v>58</v>
      </c>
      <c r="AK23" s="34" t="s">
        <v>59</v>
      </c>
      <c r="AL23" s="35" t="s">
        <v>60</v>
      </c>
      <c r="AM23" s="42" t="s">
        <v>61</v>
      </c>
    </row>
    <row r="24" spans="1:39" ht="24.75" customHeight="1" outlineLevel="1">
      <c r="A24" s="54"/>
      <c r="B24" s="54"/>
      <c r="C24" s="55"/>
      <c r="D24" s="55"/>
      <c r="E24" s="55"/>
      <c r="F24" s="55"/>
      <c r="G24" s="55"/>
      <c r="H24" s="56"/>
      <c r="I24" s="43" t="s">
        <v>62</v>
      </c>
      <c r="J24" s="44" t="s">
        <v>0</v>
      </c>
      <c r="K24" s="43" t="s">
        <v>0</v>
      </c>
      <c r="L24" s="43" t="s">
        <v>0</v>
      </c>
      <c r="M24" s="43" t="s">
        <v>63</v>
      </c>
      <c r="N24" s="44" t="s">
        <v>63</v>
      </c>
      <c r="O24" s="44" t="s">
        <v>64</v>
      </c>
      <c r="P24" s="43" t="s">
        <v>65</v>
      </c>
      <c r="Q24" s="45" t="s">
        <v>0</v>
      </c>
      <c r="R24" s="46" t="s">
        <v>63</v>
      </c>
      <c r="S24" s="47" t="s">
        <v>63</v>
      </c>
      <c r="T24" s="48" t="s">
        <v>0</v>
      </c>
      <c r="U24" s="48" t="s">
        <v>63</v>
      </c>
      <c r="V24" s="49" t="s">
        <v>63</v>
      </c>
      <c r="W24" s="50"/>
      <c r="X24" s="51" t="s">
        <v>63</v>
      </c>
      <c r="Y24" s="49" t="s">
        <v>63</v>
      </c>
      <c r="Z24" s="52"/>
      <c r="AA24" s="52" t="s">
        <v>63</v>
      </c>
      <c r="AB24" s="49" t="s">
        <v>63</v>
      </c>
      <c r="AC24" s="53"/>
      <c r="AD24" s="44" t="s">
        <v>66</v>
      </c>
      <c r="AE24" s="44" t="s">
        <v>66</v>
      </c>
      <c r="AF24" s="44" t="s">
        <v>67</v>
      </c>
      <c r="AG24" s="44" t="s">
        <v>68</v>
      </c>
      <c r="AH24" s="44" t="s">
        <v>69</v>
      </c>
      <c r="AI24" s="44" t="s">
        <v>68</v>
      </c>
      <c r="AJ24" s="44" t="s">
        <v>67</v>
      </c>
      <c r="AK24" s="44"/>
      <c r="AL24" s="44"/>
      <c r="AM24" s="53"/>
    </row>
    <row r="25" spans="1:39" ht="13.5" customHeight="1" outlineLevel="1">
      <c r="A25" s="57" t="s">
        <v>70</v>
      </c>
      <c r="B25" s="58" t="s">
        <v>71</v>
      </c>
      <c r="C25" s="59" t="s">
        <v>72</v>
      </c>
      <c r="D25" s="60" t="s">
        <v>73</v>
      </c>
      <c r="E25" s="60">
        <v>110000</v>
      </c>
      <c r="F25" s="58" t="s">
        <v>74</v>
      </c>
      <c r="G25" s="61" t="s">
        <v>75</v>
      </c>
      <c r="H25" s="62">
        <v>218</v>
      </c>
      <c r="I25" s="63">
        <v>132.849</v>
      </c>
      <c r="J25" s="60" t="s">
        <v>17</v>
      </c>
      <c r="K25" s="61" t="s">
        <v>76</v>
      </c>
      <c r="L25" s="64">
        <v>3403000</v>
      </c>
      <c r="M25" s="62">
        <v>50811.92</v>
      </c>
      <c r="N25" s="65">
        <v>4571663.39</v>
      </c>
      <c r="O25" s="65">
        <v>8.7</v>
      </c>
      <c r="P25" s="64">
        <v>8.743788981637069</v>
      </c>
      <c r="Q25" s="66">
        <f>IF(OR(ISERROR(L25*$C$20/$C$16),EXACT(MID(B25,1,4),"WPL:")),0,L25*$C$20/$C$16)</f>
        <v>4</v>
      </c>
      <c r="R25" s="67">
        <f>IF(OR(ISERROR(M25*$C$20/$C$16),EXACT(MID(B25,1,4),"WPL:")),0,M25*$C$20/$C$16)</f>
        <v>4</v>
      </c>
      <c r="S25" s="68">
        <f>IF(OR(ISERROR(N25*$C$20/$C$16),EXACT(MID(B25,1,4),"WPL:")),0,N25*$C$20/$C$16)</f>
        <v>4</v>
      </c>
      <c r="T25" s="62">
        <f>IF(OR(ISERROR(L25*$C$21/N40),EXACT(MID(B25,1,4),"WPL:")),0,L25*$C$21/N40)</f>
        <v>4</v>
      </c>
      <c r="U25" s="62">
        <f>IF(OR(ISERROR(M25*$C$21/N40),EXACT(MID(B25,1,4),"WPL:")),0,M25*$C$21/N40)</f>
        <v>4</v>
      </c>
      <c r="V25" s="69">
        <f>IF(OR(ISERROR(M25*$C$20),EXACT(MID(B25,1,4),"WPL:")),0,N25*$C$21/N40)</f>
        <v>4</v>
      </c>
      <c r="W25" s="70">
        <f>IF(OR(ISERROR(L25*$C$20/$C$16),MID(B25,1,4)&lt;&gt;"WPL:"),0,L25*$C$20/$C$16)</f>
        <v>4</v>
      </c>
      <c r="X25" s="65">
        <f>IF(OR(ISERROR(50811.92*$C$21/N40),MID(B25,1,4)&lt;&gt;"WPL:"),0,50811.92*$C$21/N40)</f>
        <v>4</v>
      </c>
      <c r="Y25" s="71">
        <f>IF(OR(ISERROR(4571663.39*$C$20/$C$16),MID(B25,1,4)&lt;&gt;"WPL:"),0,4571663.39*$C$20/$C$16)</f>
        <v>4</v>
      </c>
      <c r="Z25" s="72">
        <f>IF(OR(ISERROR(L25*$C$21/N40),MID(B25,1,4)&lt;&gt;"WPL:"),0,L25*$C$21/N40)</f>
        <v>4</v>
      </c>
      <c r="AA25" s="73">
        <f>IF(OR(ISERROR(50811.92*$C$21/N40),MID(B25,1,4)&lt;&gt;"WPL:"),0,50811.92*$C$21/N40)</f>
        <v>4</v>
      </c>
      <c r="AB25" s="71">
        <f>IF(OR(ISERROR(4571663.39*$C$20),MID(B25,1,4)&lt;&gt;"WPL:"),0,4571663.39*$C$21/N40)</f>
        <v>4</v>
      </c>
      <c r="AC25" s="69"/>
      <c r="AD25" s="74" t="s">
        <v>88</v>
      </c>
      <c r="AE25" s="74" t="s">
        <v>89</v>
      </c>
      <c r="AF25" s="74">
        <v>29.413698630137</v>
      </c>
      <c r="AG25" s="74">
        <v>2.5</v>
      </c>
      <c r="AH25" s="74">
        <v>1</v>
      </c>
      <c r="AI25" s="74">
        <v>1.1728950698</v>
      </c>
      <c r="AJ25" s="74">
        <v>22.1635577647</v>
      </c>
      <c r="AK25" s="74">
        <v>21.906616144</v>
      </c>
      <c r="AL25" s="74">
        <v>593.3879686559</v>
      </c>
      <c r="AM25" s="75" t="s">
        <v>90</v>
      </c>
    </row>
    <row r="26" spans="1:39" ht="13.5" customHeight="1" outlineLevel="1">
      <c r="A26" s="57" t="s">
        <v>91</v>
      </c>
      <c r="B26" s="58" t="s">
        <v>92</v>
      </c>
      <c r="C26" s="59" t="s">
        <v>93</v>
      </c>
      <c r="D26" s="60" t="s">
        <v>94</v>
      </c>
      <c r="E26" s="60">
        <v>110000</v>
      </c>
      <c r="F26" s="58" t="s">
        <v>74</v>
      </c>
      <c r="G26" s="61" t="s">
        <v>75</v>
      </c>
      <c r="H26" s="62">
        <v>67</v>
      </c>
      <c r="I26" s="63">
        <v>98.248</v>
      </c>
      <c r="J26" s="60" t="s">
        <v>17</v>
      </c>
      <c r="K26" s="61" t="s">
        <v>76</v>
      </c>
      <c r="L26" s="64">
        <v>851000</v>
      </c>
      <c r="M26" s="62">
        <v>390.53</v>
      </c>
      <c r="N26" s="65">
        <v>836481.01</v>
      </c>
      <c r="O26" s="65">
        <v>1.6</v>
      </c>
      <c r="P26" s="64">
        <v>1.599858260471501</v>
      </c>
      <c r="Q26" s="66">
        <f>IF(OR(ISERROR(L26*$C$20/$C$16),EXACT(MID(B26,1,4),"WPL:")),0,L26*$C$20/$C$16)</f>
        <v>4</v>
      </c>
      <c r="R26" s="67">
        <f>IF(OR(ISERROR(M26*$C$20/$C$16),EXACT(MID(B26,1,4),"WPL:")),0,M26*$C$20/$C$16)</f>
        <v>4</v>
      </c>
      <c r="S26" s="68">
        <f>IF(OR(ISERROR(N26*$C$20/$C$16),EXACT(MID(B26,1,4),"WPL:")),0,N26*$C$20/$C$16)</f>
        <v>4</v>
      </c>
      <c r="T26" s="62">
        <f>IF(OR(ISERROR(L26*$C$21/N40),EXACT(MID(B26,1,4),"WPL:")),0,L26*$C$21/N40)</f>
        <v>4</v>
      </c>
      <c r="U26" s="62">
        <f>IF(OR(ISERROR(M26*$C$21/N40),EXACT(MID(B26,1,4),"WPL:")),0,M26*$C$21/N40)</f>
        <v>4</v>
      </c>
      <c r="V26" s="69">
        <f>IF(OR(ISERROR(M26*$C$20),EXACT(MID(B26,1,4),"WPL:")),0,N26*$C$21/N40)</f>
        <v>4</v>
      </c>
      <c r="W26" s="70">
        <f>IF(OR(ISERROR(L26*$C$20/$C$16),MID(B26,1,4)&lt;&gt;"WPL:"),0,L26*$C$20/$C$16)</f>
        <v>4</v>
      </c>
      <c r="X26" s="65">
        <f>IF(OR(ISERROR(390.53*$C$21/N40),MID(B26,1,4)&lt;&gt;"WPL:"),0,390.53*$C$21/N40)</f>
        <v>4</v>
      </c>
      <c r="Y26" s="71">
        <f>IF(OR(ISERROR(836481.01*$C$20/$C$16),MID(B26,1,4)&lt;&gt;"WPL:"),0,836481.01*$C$20/$C$16)</f>
        <v>4</v>
      </c>
      <c r="Z26" s="72">
        <f>IF(OR(ISERROR(L26*$C$21/N40),MID(B26,1,4)&lt;&gt;"WPL:"),0,L26*$C$21/N40)</f>
        <v>4</v>
      </c>
      <c r="AA26" s="73">
        <f>IF(OR(ISERROR(390.53*$C$21/N40),MID(B26,1,4)&lt;&gt;"WPL:"),0,390.53*$C$21/N40)</f>
        <v>4</v>
      </c>
      <c r="AB26" s="71">
        <f>IF(OR(ISERROR(836481.01*$C$20),MID(B26,1,4)&lt;&gt;"WPL:"),0,836481.01*$C$21/N40)</f>
        <v>4</v>
      </c>
      <c r="AC26" s="69"/>
      <c r="AD26" s="74" t="s">
        <v>106</v>
      </c>
      <c r="AE26" s="74" t="s">
        <v>107</v>
      </c>
      <c r="AF26" s="74">
        <v>9.9178082191781</v>
      </c>
      <c r="AG26" s="74">
        <v>0.25</v>
      </c>
      <c r="AH26" s="74">
        <v>1</v>
      </c>
      <c r="AI26" s="74">
        <v>0.4308196407</v>
      </c>
      <c r="AJ26" s="74">
        <v>9.8030415383</v>
      </c>
      <c r="AK26" s="74">
        <v>9.7609892794</v>
      </c>
      <c r="AL26" s="74">
        <v>105.7113809464</v>
      </c>
      <c r="AM26" s="75" t="s">
        <v>90</v>
      </c>
    </row>
    <row r="27" spans="1:39" ht="13.5" customHeight="1" outlineLevel="1">
      <c r="A27" s="57" t="s">
        <v>108</v>
      </c>
      <c r="B27" s="58" t="s">
        <v>109</v>
      </c>
      <c r="C27" s="59" t="s">
        <v>110</v>
      </c>
      <c r="D27" s="60" t="s">
        <v>111</v>
      </c>
      <c r="E27" s="60">
        <v>110000</v>
      </c>
      <c r="F27" s="58" t="s">
        <v>74</v>
      </c>
      <c r="G27" s="61" t="s">
        <v>75</v>
      </c>
      <c r="H27" s="62">
        <v>260</v>
      </c>
      <c r="I27" s="63">
        <v>161.4</v>
      </c>
      <c r="J27" s="60" t="s">
        <v>17</v>
      </c>
      <c r="K27" s="61" t="s">
        <v>76</v>
      </c>
      <c r="L27" s="64">
        <v>1914000</v>
      </c>
      <c r="M27" s="62">
        <v>88620.82</v>
      </c>
      <c r="N27" s="65">
        <v>3177816.82</v>
      </c>
      <c r="O27" s="65">
        <v>6.1</v>
      </c>
      <c r="P27" s="64">
        <v>6.077910232226643</v>
      </c>
      <c r="Q27" s="66">
        <f>IF(OR(ISERROR(L27*$C$20/$C$16),EXACT(MID(B27,1,4),"WPL:")),0,L27*$C$20/$C$16)</f>
        <v>4</v>
      </c>
      <c r="R27" s="67">
        <f>IF(OR(ISERROR(M27*$C$20/$C$16),EXACT(MID(B27,1,4),"WPL:")),0,M27*$C$20/$C$16)</f>
        <v>4</v>
      </c>
      <c r="S27" s="68">
        <f>IF(OR(ISERROR(N27*$C$20/$C$16),EXACT(MID(B27,1,4),"WPL:")),0,N27*$C$20/$C$16)</f>
        <v>4</v>
      </c>
      <c r="T27" s="62">
        <f>IF(OR(ISERROR(L27*$C$21/N40),EXACT(MID(B27,1,4),"WPL:")),0,L27*$C$21/N40)</f>
        <v>4</v>
      </c>
      <c r="U27" s="62">
        <f>IF(OR(ISERROR(M27*$C$21/N40),EXACT(MID(B27,1,4),"WPL:")),0,M27*$C$21/N40)</f>
        <v>4</v>
      </c>
      <c r="V27" s="69">
        <f>IF(OR(ISERROR(M27*$C$20),EXACT(MID(B27,1,4),"WPL:")),0,N27*$C$21/N40)</f>
        <v>4</v>
      </c>
      <c r="W27" s="70">
        <f>IF(OR(ISERROR(L27*$C$20/$C$16),MID(B27,1,4)&lt;&gt;"WPL:"),0,L27*$C$20/$C$16)</f>
        <v>4</v>
      </c>
      <c r="X27" s="65">
        <f>IF(OR(ISERROR(88620.82*$C$21/N40),MID(B27,1,4)&lt;&gt;"WPL:"),0,88620.82*$C$21/N40)</f>
        <v>4</v>
      </c>
      <c r="Y27" s="71">
        <f>IF(OR(ISERROR(3177816.82*$C$20/$C$16),MID(B27,1,4)&lt;&gt;"WPL:"),0,3177816.82*$C$20/$C$16)</f>
        <v>4</v>
      </c>
      <c r="Z27" s="72">
        <f>IF(OR(ISERROR(L27*$C$21/N40),MID(B27,1,4)&lt;&gt;"WPL:"),0,L27*$C$21/N40)</f>
        <v>4</v>
      </c>
      <c r="AA27" s="73">
        <f>IF(OR(ISERROR(88620.82*$C$21/N40),MID(B27,1,4)&lt;&gt;"WPL:"),0,88620.82*$C$21/N40)</f>
        <v>4</v>
      </c>
      <c r="AB27" s="71">
        <f>IF(OR(ISERROR(3177816.82*$C$20),MID(B27,1,4)&lt;&gt;"WPL:"),0,3177816.82*$C$21/N40)</f>
        <v>4</v>
      </c>
      <c r="AC27" s="69"/>
      <c r="AD27" s="74" t="s">
        <v>123</v>
      </c>
      <c r="AE27" s="74" t="s">
        <v>124</v>
      </c>
      <c r="AF27" s="74">
        <v>10.2986301369863</v>
      </c>
      <c r="AG27" s="74">
        <v>6.5</v>
      </c>
      <c r="AH27" s="74">
        <v>1</v>
      </c>
      <c r="AI27" s="74">
        <v>0.4016507087</v>
      </c>
      <c r="AJ27" s="74">
        <v>8.172675701</v>
      </c>
      <c r="AK27" s="74">
        <v>8.139981408</v>
      </c>
      <c r="AL27" s="74">
        <v>84.6965544945</v>
      </c>
      <c r="AM27" s="75" t="s">
        <v>90</v>
      </c>
    </row>
    <row r="28" spans="1:39" ht="13.5" customHeight="1" outlineLevel="1">
      <c r="A28" s="57" t="s">
        <v>125</v>
      </c>
      <c r="B28" s="58" t="s">
        <v>126</v>
      </c>
      <c r="C28" s="59" t="s">
        <v>127</v>
      </c>
      <c r="D28" s="60" t="s">
        <v>128</v>
      </c>
      <c r="E28" s="60">
        <v>110000</v>
      </c>
      <c r="F28" s="58" t="s">
        <v>74</v>
      </c>
      <c r="G28" s="61" t="s">
        <v>75</v>
      </c>
      <c r="H28" s="62">
        <v>76</v>
      </c>
      <c r="I28" s="63">
        <v>154.58</v>
      </c>
      <c r="J28" s="60" t="s">
        <v>17</v>
      </c>
      <c r="K28" s="61" t="s">
        <v>76</v>
      </c>
      <c r="L28" s="64">
        <v>2467000</v>
      </c>
      <c r="M28" s="62">
        <v>28894.32</v>
      </c>
      <c r="N28" s="65">
        <v>3842382.92</v>
      </c>
      <c r="O28" s="65">
        <v>7.3</v>
      </c>
      <c r="P28" s="64">
        <v>7.34896307383787</v>
      </c>
      <c r="Q28" s="66">
        <f>IF(OR(ISERROR(L28*$C$20/$C$16),EXACT(MID(B28,1,4),"WPL:")),0,L28*$C$20/$C$16)</f>
        <v>4</v>
      </c>
      <c r="R28" s="67">
        <f>IF(OR(ISERROR(M28*$C$20/$C$16),EXACT(MID(B28,1,4),"WPL:")),0,M28*$C$20/$C$16)</f>
        <v>4</v>
      </c>
      <c r="S28" s="68">
        <f>IF(OR(ISERROR(N28*$C$20/$C$16),EXACT(MID(B28,1,4),"WPL:")),0,N28*$C$20/$C$16)</f>
        <v>4</v>
      </c>
      <c r="T28" s="62">
        <f>IF(OR(ISERROR(L28*$C$21/N40),EXACT(MID(B28,1,4),"WPL:")),0,L28*$C$21/N40)</f>
        <v>4</v>
      </c>
      <c r="U28" s="62">
        <f>IF(OR(ISERROR(M28*$C$21/N40),EXACT(MID(B28,1,4),"WPL:")),0,M28*$C$21/N40)</f>
        <v>4</v>
      </c>
      <c r="V28" s="69">
        <f>IF(OR(ISERROR(M28*$C$20),EXACT(MID(B28,1,4),"WPL:")),0,N28*$C$21/N40)</f>
        <v>4</v>
      </c>
      <c r="W28" s="70">
        <f>IF(OR(ISERROR(L28*$C$20/$C$16),MID(B28,1,4)&lt;&gt;"WPL:"),0,L28*$C$20/$C$16)</f>
        <v>4</v>
      </c>
      <c r="X28" s="65">
        <f>IF(OR(ISERROR(28894.32*$C$21/N40),MID(B28,1,4)&lt;&gt;"WPL:"),0,28894.32*$C$21/N40)</f>
        <v>4</v>
      </c>
      <c r="Y28" s="71">
        <f>IF(OR(ISERROR(3842382.92*$C$20/$C$16),MID(B28,1,4)&lt;&gt;"WPL:"),0,3842382.92*$C$20/$C$16)</f>
        <v>4</v>
      </c>
      <c r="Z28" s="72">
        <f>IF(OR(ISERROR(L28*$C$21/N40),MID(B28,1,4)&lt;&gt;"WPL:"),0,L28*$C$21/N40)</f>
        <v>4</v>
      </c>
      <c r="AA28" s="73">
        <f>IF(OR(ISERROR(28894.32*$C$21/N40),MID(B28,1,4)&lt;&gt;"WPL:"),0,28894.32*$C$21/N40)</f>
        <v>4</v>
      </c>
      <c r="AB28" s="71">
        <f>IF(OR(ISERROR(3842382.92*$C$20),MID(B28,1,4)&lt;&gt;"WPL:"),0,3842382.92*$C$21/N40)</f>
        <v>4</v>
      </c>
      <c r="AC28" s="69"/>
      <c r="AD28" s="74" t="s">
        <v>140</v>
      </c>
      <c r="AE28" s="74" t="s">
        <v>141</v>
      </c>
      <c r="AF28" s="74">
        <v>10.8027397260274</v>
      </c>
      <c r="AG28" s="74">
        <v>5.625</v>
      </c>
      <c r="AH28" s="74">
        <v>1</v>
      </c>
      <c r="AI28" s="74">
        <v>0.4401995767</v>
      </c>
      <c r="AJ28" s="74">
        <v>8.8484149063</v>
      </c>
      <c r="AK28" s="74">
        <v>8.8096349306</v>
      </c>
      <c r="AL28" s="74">
        <v>96.2062317251</v>
      </c>
      <c r="AM28" s="75" t="s">
        <v>90</v>
      </c>
    </row>
    <row r="29" spans="1:39" ht="13.5" customHeight="1" outlineLevel="1">
      <c r="A29" s="57" t="s">
        <v>142</v>
      </c>
      <c r="B29" s="58" t="s">
        <v>143</v>
      </c>
      <c r="C29" s="59" t="s">
        <v>144</v>
      </c>
      <c r="D29" s="60" t="s">
        <v>145</v>
      </c>
      <c r="E29" s="60">
        <v>110000</v>
      </c>
      <c r="F29" s="58" t="s">
        <v>74</v>
      </c>
      <c r="G29" s="61" t="s">
        <v>75</v>
      </c>
      <c r="H29" s="62">
        <v>260</v>
      </c>
      <c r="I29" s="63">
        <v>146.831</v>
      </c>
      <c r="J29" s="60" t="s">
        <v>17</v>
      </c>
      <c r="K29" s="61" t="s">
        <v>76</v>
      </c>
      <c r="L29" s="64">
        <v>1914000</v>
      </c>
      <c r="M29" s="62">
        <v>64761.37</v>
      </c>
      <c r="N29" s="65">
        <v>2875106.71</v>
      </c>
      <c r="O29" s="65">
        <v>5.5</v>
      </c>
      <c r="P29" s="64">
        <v>5.498945181948053</v>
      </c>
      <c r="Q29" s="66">
        <f>IF(OR(ISERROR(L29*$C$20/$C$16),EXACT(MID(B29,1,4),"WPL:")),0,L29*$C$20/$C$16)</f>
        <v>4</v>
      </c>
      <c r="R29" s="67">
        <f>IF(OR(ISERROR(M29*$C$20/$C$16),EXACT(MID(B29,1,4),"WPL:")),0,M29*$C$20/$C$16)</f>
        <v>4</v>
      </c>
      <c r="S29" s="68">
        <f>IF(OR(ISERROR(N29*$C$20/$C$16),EXACT(MID(B29,1,4),"WPL:")),0,N29*$C$20/$C$16)</f>
        <v>4</v>
      </c>
      <c r="T29" s="62">
        <f>IF(OR(ISERROR(L29*$C$21/N40),EXACT(MID(B29,1,4),"WPL:")),0,L29*$C$21/N40)</f>
        <v>4</v>
      </c>
      <c r="U29" s="62">
        <f>IF(OR(ISERROR(M29*$C$21/N40),EXACT(MID(B29,1,4),"WPL:")),0,M29*$C$21/N40)</f>
        <v>4</v>
      </c>
      <c r="V29" s="69">
        <f>IF(OR(ISERROR(M29*$C$20),EXACT(MID(B29,1,4),"WPL:")),0,N29*$C$21/N40)</f>
        <v>4</v>
      </c>
      <c r="W29" s="70">
        <f>IF(OR(ISERROR(L29*$C$20/$C$16),MID(B29,1,4)&lt;&gt;"WPL:"),0,L29*$C$20/$C$16)</f>
        <v>4</v>
      </c>
      <c r="X29" s="65">
        <f>IF(OR(ISERROR(64761.37*$C$21/N40),MID(B29,1,4)&lt;&gt;"WPL:"),0,64761.37*$C$21/N40)</f>
        <v>4</v>
      </c>
      <c r="Y29" s="71">
        <f>IF(OR(ISERROR(2875106.71*$C$20/$C$16),MID(B29,1,4)&lt;&gt;"WPL:"),0,2875106.71*$C$20/$C$16)</f>
        <v>4</v>
      </c>
      <c r="Z29" s="72">
        <f>IF(OR(ISERROR(L29*$C$21/N40),MID(B29,1,4)&lt;&gt;"WPL:"),0,L29*$C$21/N40)</f>
        <v>4</v>
      </c>
      <c r="AA29" s="73">
        <f>IF(OR(ISERROR(64761.37*$C$21/N40),MID(B29,1,4)&lt;&gt;"WPL:"),0,64761.37*$C$21/N40)</f>
        <v>4</v>
      </c>
      <c r="AB29" s="71">
        <f>IF(OR(ISERROR(2875106.71*$C$20),MID(B29,1,4)&lt;&gt;"WPL:"),0,2875106.71*$C$21/N40)</f>
        <v>4</v>
      </c>
      <c r="AC29" s="69"/>
      <c r="AD29" s="74" t="s">
        <v>157</v>
      </c>
      <c r="AE29" s="74" t="s">
        <v>158</v>
      </c>
      <c r="AF29" s="74">
        <v>11.2986301369863</v>
      </c>
      <c r="AG29" s="74">
        <v>4.75</v>
      </c>
      <c r="AH29" s="74">
        <v>1</v>
      </c>
      <c r="AI29" s="74">
        <v>0.4812675861</v>
      </c>
      <c r="AJ29" s="74">
        <v>9.2468110241</v>
      </c>
      <c r="AK29" s="74">
        <v>9.2025222674</v>
      </c>
      <c r="AL29" s="74">
        <v>105.3256243505</v>
      </c>
      <c r="AM29" s="75" t="s">
        <v>90</v>
      </c>
    </row>
    <row r="30" spans="1:39" ht="13.5" customHeight="1" outlineLevel="1">
      <c r="A30" s="57" t="s">
        <v>159</v>
      </c>
      <c r="B30" s="58" t="s">
        <v>160</v>
      </c>
      <c r="C30" s="59" t="s">
        <v>161</v>
      </c>
      <c r="D30" s="60" t="s">
        <v>162</v>
      </c>
      <c r="E30" s="60">
        <v>110000</v>
      </c>
      <c r="F30" s="58" t="s">
        <v>74</v>
      </c>
      <c r="G30" s="61" t="s">
        <v>75</v>
      </c>
      <c r="H30" s="62">
        <v>76</v>
      </c>
      <c r="I30" s="63">
        <v>170.438</v>
      </c>
      <c r="J30" s="60" t="s">
        <v>17</v>
      </c>
      <c r="K30" s="61" t="s">
        <v>76</v>
      </c>
      <c r="L30" s="64">
        <v>1574000</v>
      </c>
      <c r="M30" s="62">
        <v>20483.56</v>
      </c>
      <c r="N30" s="65">
        <v>2703177.68</v>
      </c>
      <c r="O30" s="65">
        <v>5.2</v>
      </c>
      <c r="P30" s="64">
        <v>5.170112757096766</v>
      </c>
      <c r="Q30" s="66">
        <f>IF(OR(ISERROR(L30*$C$20/$C$16),EXACT(MID(B30,1,4),"WPL:")),0,L30*$C$20/$C$16)</f>
        <v>4</v>
      </c>
      <c r="R30" s="67">
        <f>IF(OR(ISERROR(M30*$C$20/$C$16),EXACT(MID(B30,1,4),"WPL:")),0,M30*$C$20/$C$16)</f>
        <v>4</v>
      </c>
      <c r="S30" s="68">
        <f>IF(OR(ISERROR(N30*$C$20/$C$16),EXACT(MID(B30,1,4),"WPL:")),0,N30*$C$20/$C$16)</f>
        <v>4</v>
      </c>
      <c r="T30" s="62">
        <f>IF(OR(ISERROR(L30*$C$21/N40),EXACT(MID(B30,1,4),"WPL:")),0,L30*$C$21/N40)</f>
        <v>4</v>
      </c>
      <c r="U30" s="62">
        <f>IF(OR(ISERROR(M30*$C$21/N40),EXACT(MID(B30,1,4),"WPL:")),0,M30*$C$21/N40)</f>
        <v>4</v>
      </c>
      <c r="V30" s="69">
        <f>IF(OR(ISERROR(M30*$C$20),EXACT(MID(B30,1,4),"WPL:")),0,N30*$C$21/N40)</f>
        <v>4</v>
      </c>
      <c r="W30" s="70">
        <f>IF(OR(ISERROR(L30*$C$20/$C$16),MID(B30,1,4)&lt;&gt;"WPL:"),0,L30*$C$20/$C$16)</f>
        <v>4</v>
      </c>
      <c r="X30" s="65">
        <f>IF(OR(ISERROR(20483.56*$C$21/N40),MID(B30,1,4)&lt;&gt;"WPL:"),0,20483.56*$C$21/N40)</f>
        <v>4</v>
      </c>
      <c r="Y30" s="71">
        <f>IF(OR(ISERROR(2703177.68*$C$20/$C$16),MID(B30,1,4)&lt;&gt;"WPL:"),0,2703177.68*$C$20/$C$16)</f>
        <v>4</v>
      </c>
      <c r="Z30" s="72">
        <f>IF(OR(ISERROR(L30*$C$21/N40),MID(B30,1,4)&lt;&gt;"WPL:"),0,L30*$C$21/N40)</f>
        <v>4</v>
      </c>
      <c r="AA30" s="73">
        <f>IF(OR(ISERROR(20483.56*$C$21/N40),MID(B30,1,4)&lt;&gt;"WPL:"),0,20483.56*$C$21/N40)</f>
        <v>4</v>
      </c>
      <c r="AB30" s="71">
        <f>IF(OR(ISERROR(2703177.68*$C$20),MID(B30,1,4)&lt;&gt;"WPL:"),0,2703177.68*$C$21/N40)</f>
        <v>4</v>
      </c>
      <c r="AC30" s="69"/>
      <c r="AD30" s="74" t="s">
        <v>174</v>
      </c>
      <c r="AE30" s="74" t="s">
        <v>175</v>
      </c>
      <c r="AF30" s="74">
        <v>12.8027397260274</v>
      </c>
      <c r="AG30" s="74">
        <v>6.25</v>
      </c>
      <c r="AH30" s="74">
        <v>1</v>
      </c>
      <c r="AI30" s="74">
        <v>0.5405644757</v>
      </c>
      <c r="AJ30" s="74">
        <v>10.0302654791</v>
      </c>
      <c r="AK30" s="74">
        <v>9.9763369456</v>
      </c>
      <c r="AL30" s="74">
        <v>124.8279303166</v>
      </c>
      <c r="AM30" s="75" t="s">
        <v>90</v>
      </c>
    </row>
    <row r="31" spans="1:39" ht="13.5" customHeight="1" outlineLevel="1">
      <c r="A31" s="57" t="s">
        <v>176</v>
      </c>
      <c r="B31" s="58" t="s">
        <v>177</v>
      </c>
      <c r="C31" s="59" t="s">
        <v>178</v>
      </c>
      <c r="D31" s="60" t="s">
        <v>179</v>
      </c>
      <c r="E31" s="60">
        <v>110000</v>
      </c>
      <c r="F31" s="58" t="s">
        <v>74</v>
      </c>
      <c r="G31" s="61" t="s">
        <v>75</v>
      </c>
      <c r="H31" s="62">
        <v>76</v>
      </c>
      <c r="I31" s="63">
        <v>164.53</v>
      </c>
      <c r="J31" s="60" t="s">
        <v>17</v>
      </c>
      <c r="K31" s="61" t="s">
        <v>76</v>
      </c>
      <c r="L31" s="64">
        <v>2892000</v>
      </c>
      <c r="M31" s="62">
        <v>33119.34</v>
      </c>
      <c r="N31" s="65">
        <v>4791326.94</v>
      </c>
      <c r="O31" s="65">
        <v>9.2</v>
      </c>
      <c r="P31" s="64">
        <v>9.163918716551187</v>
      </c>
      <c r="Q31" s="66">
        <f>IF(OR(ISERROR(L31*$C$20/$C$16),EXACT(MID(B31,1,4),"WPL:")),0,L31*$C$20/$C$16)</f>
        <v>4</v>
      </c>
      <c r="R31" s="67">
        <f>IF(OR(ISERROR(M31*$C$20/$C$16),EXACT(MID(B31,1,4),"WPL:")),0,M31*$C$20/$C$16)</f>
        <v>4</v>
      </c>
      <c r="S31" s="68">
        <f>IF(OR(ISERROR(N31*$C$20/$C$16),EXACT(MID(B31,1,4),"WPL:")),0,N31*$C$20/$C$16)</f>
        <v>4</v>
      </c>
      <c r="T31" s="62">
        <f>IF(OR(ISERROR(L31*$C$21/N40),EXACT(MID(B31,1,4),"WPL:")),0,L31*$C$21/N40)</f>
        <v>4</v>
      </c>
      <c r="U31" s="62">
        <f>IF(OR(ISERROR(M31*$C$21/N40),EXACT(MID(B31,1,4),"WPL:")),0,M31*$C$21/N40)</f>
        <v>4</v>
      </c>
      <c r="V31" s="69">
        <f>IF(OR(ISERROR(M31*$C$20),EXACT(MID(B31,1,4),"WPL:")),0,N31*$C$21/N40)</f>
        <v>4</v>
      </c>
      <c r="W31" s="70">
        <f>IF(OR(ISERROR(L31*$C$20/$C$16),MID(B31,1,4)&lt;&gt;"WPL:"),0,L31*$C$20/$C$16)</f>
        <v>4</v>
      </c>
      <c r="X31" s="65">
        <f>IF(OR(ISERROR(33119.34*$C$21/N40),MID(B31,1,4)&lt;&gt;"WPL:"),0,33119.34*$C$21/N40)</f>
        <v>4</v>
      </c>
      <c r="Y31" s="71">
        <f>IF(OR(ISERROR(4791326.94*$C$20/$C$16),MID(B31,1,4)&lt;&gt;"WPL:"),0,4791326.94*$C$20/$C$16)</f>
        <v>4</v>
      </c>
      <c r="Z31" s="72">
        <f>IF(OR(ISERROR(L31*$C$21/N40),MID(B31,1,4)&lt;&gt;"WPL:"),0,L31*$C$21/N40)</f>
        <v>4</v>
      </c>
      <c r="AA31" s="73">
        <f>IF(OR(ISERROR(33119.34*$C$21/N40),MID(B31,1,4)&lt;&gt;"WPL:"),0,33119.34*$C$21/N40)</f>
        <v>4</v>
      </c>
      <c r="AB31" s="71">
        <f>IF(OR(ISERROR(4791326.94*$C$20),MID(B31,1,4)&lt;&gt;"WPL:"),0,4791326.94*$C$21/N40)</f>
        <v>4</v>
      </c>
      <c r="AC31" s="69"/>
      <c r="AD31" s="74" t="s">
        <v>191</v>
      </c>
      <c r="AE31" s="74" t="s">
        <v>192</v>
      </c>
      <c r="AF31" s="74">
        <v>13.8027397260274</v>
      </c>
      <c r="AG31" s="74">
        <v>5.5</v>
      </c>
      <c r="AH31" s="74">
        <v>1</v>
      </c>
      <c r="AI31" s="74">
        <v>0.61060962</v>
      </c>
      <c r="AJ31" s="74">
        <v>10.8672039476</v>
      </c>
      <c r="AK31" s="74">
        <v>10.8012504731</v>
      </c>
      <c r="AL31" s="74">
        <v>145.1652942104</v>
      </c>
      <c r="AM31" s="75" t="s">
        <v>90</v>
      </c>
    </row>
    <row r="32" spans="1:39" ht="13.5" customHeight="1" outlineLevel="1">
      <c r="A32" s="57" t="s">
        <v>193</v>
      </c>
      <c r="B32" s="58" t="s">
        <v>194</v>
      </c>
      <c r="C32" s="59" t="s">
        <v>195</v>
      </c>
      <c r="D32" s="60" t="s">
        <v>196</v>
      </c>
      <c r="E32" s="60">
        <v>110000</v>
      </c>
      <c r="F32" s="58" t="s">
        <v>74</v>
      </c>
      <c r="G32" s="61" t="s">
        <v>75</v>
      </c>
      <c r="H32" s="62">
        <v>260</v>
      </c>
      <c r="I32" s="63">
        <v>164.155</v>
      </c>
      <c r="J32" s="60" t="s">
        <v>17</v>
      </c>
      <c r="K32" s="61" t="s">
        <v>76</v>
      </c>
      <c r="L32" s="64">
        <v>3403000</v>
      </c>
      <c r="M32" s="62">
        <v>115142.6</v>
      </c>
      <c r="N32" s="65">
        <v>5701337.25</v>
      </c>
      <c r="O32" s="65">
        <v>10.9</v>
      </c>
      <c r="P32" s="64">
        <v>10.904409527654874</v>
      </c>
      <c r="Q32" s="66">
        <f>IF(OR(ISERROR(L32*$C$20/$C$16),EXACT(MID(B32,1,4),"WPL:")),0,L32*$C$20/$C$16)</f>
        <v>4</v>
      </c>
      <c r="R32" s="67">
        <f>IF(OR(ISERROR(M32*$C$20/$C$16),EXACT(MID(B32,1,4),"WPL:")),0,M32*$C$20/$C$16)</f>
        <v>4</v>
      </c>
      <c r="S32" s="68">
        <f>IF(OR(ISERROR(N32*$C$20/$C$16),EXACT(MID(B32,1,4),"WPL:")),0,N32*$C$20/$C$16)</f>
        <v>4</v>
      </c>
      <c r="T32" s="62">
        <f>IF(OR(ISERROR(L32*$C$21/N40),EXACT(MID(B32,1,4),"WPL:")),0,L32*$C$21/N40)</f>
        <v>4</v>
      </c>
      <c r="U32" s="62">
        <f>IF(OR(ISERROR(M32*$C$21/N40),EXACT(MID(B32,1,4),"WPL:")),0,M32*$C$21/N40)</f>
        <v>4</v>
      </c>
      <c r="V32" s="69">
        <f>IF(OR(ISERROR(M32*$C$20),EXACT(MID(B32,1,4),"WPL:")),0,N32*$C$21/N40)</f>
        <v>4</v>
      </c>
      <c r="W32" s="70">
        <f>IF(OR(ISERROR(L32*$C$20/$C$16),MID(B32,1,4)&lt;&gt;"WPL:"),0,L32*$C$20/$C$16)</f>
        <v>4</v>
      </c>
      <c r="X32" s="65">
        <f>IF(OR(ISERROR(115142.6*$C$21/N40),MID(B32,1,4)&lt;&gt;"WPL:"),0,115142.6*$C$21/N40)</f>
        <v>4</v>
      </c>
      <c r="Y32" s="71">
        <f>IF(OR(ISERROR(5701337.25*$C$20/$C$16),MID(B32,1,4)&lt;&gt;"WPL:"),0,5701337.25*$C$20/$C$16)</f>
        <v>4</v>
      </c>
      <c r="Z32" s="72">
        <f>IF(OR(ISERROR(L32*$C$21/N40),MID(B32,1,4)&lt;&gt;"WPL:"),0,L32*$C$21/N40)</f>
        <v>4</v>
      </c>
      <c r="AA32" s="73">
        <f>IF(OR(ISERROR(115142.6*$C$21/N40),MID(B32,1,4)&lt;&gt;"WPL:"),0,115142.6*$C$21/N40)</f>
        <v>4</v>
      </c>
      <c r="AB32" s="71">
        <f>IF(OR(ISERROR(5701337.25*$C$20),MID(B32,1,4)&lt;&gt;"WPL:"),0,5701337.25*$C$21/N40)</f>
        <v>4</v>
      </c>
      <c r="AC32" s="69"/>
      <c r="AD32" s="74" t="s">
        <v>208</v>
      </c>
      <c r="AE32" s="74" t="s">
        <v>209</v>
      </c>
      <c r="AF32" s="74">
        <v>17.2986301369863</v>
      </c>
      <c r="AG32" s="74">
        <v>4.75</v>
      </c>
      <c r="AH32" s="74">
        <v>1</v>
      </c>
      <c r="AI32" s="74">
        <v>0.7732284993</v>
      </c>
      <c r="AJ32" s="74">
        <v>13.1416151054</v>
      </c>
      <c r="AK32" s="74">
        <v>13.0407800773</v>
      </c>
      <c r="AL32" s="74">
        <v>214.2708423538</v>
      </c>
      <c r="AM32" s="75" t="s">
        <v>90</v>
      </c>
    </row>
    <row r="33" spans="1:39" ht="13.5" customHeight="1" outlineLevel="1">
      <c r="A33" s="57" t="s">
        <v>210</v>
      </c>
      <c r="B33" s="58" t="s">
        <v>211</v>
      </c>
      <c r="C33" s="59" t="s">
        <v>212</v>
      </c>
      <c r="D33" s="60" t="s">
        <v>213</v>
      </c>
      <c r="E33" s="60">
        <v>110000</v>
      </c>
      <c r="F33" s="58" t="s">
        <v>74</v>
      </c>
      <c r="G33" s="61" t="s">
        <v>75</v>
      </c>
      <c r="H33" s="62">
        <v>76</v>
      </c>
      <c r="I33" s="63">
        <v>155.911</v>
      </c>
      <c r="J33" s="60" t="s">
        <v>17</v>
      </c>
      <c r="K33" s="61" t="s">
        <v>76</v>
      </c>
      <c r="L33" s="64">
        <v>3913000</v>
      </c>
      <c r="M33" s="62">
        <v>32590.47</v>
      </c>
      <c r="N33" s="65">
        <v>6133387.9</v>
      </c>
      <c r="O33" s="65">
        <v>11.7</v>
      </c>
      <c r="P33" s="64">
        <v>11.730752018495856</v>
      </c>
      <c r="Q33" s="66">
        <f>IF(OR(ISERROR(L33*$C$20/$C$16),EXACT(MID(B33,1,4),"WPL:")),0,L33*$C$20/$C$16)</f>
        <v>4</v>
      </c>
      <c r="R33" s="67">
        <f>IF(OR(ISERROR(M33*$C$20/$C$16),EXACT(MID(B33,1,4),"WPL:")),0,M33*$C$20/$C$16)</f>
        <v>4</v>
      </c>
      <c r="S33" s="68">
        <f>IF(OR(ISERROR(N33*$C$20/$C$16),EXACT(MID(B33,1,4),"WPL:")),0,N33*$C$20/$C$16)</f>
        <v>4</v>
      </c>
      <c r="T33" s="62">
        <f>IF(OR(ISERROR(L33*$C$21/N40),EXACT(MID(B33,1,4),"WPL:")),0,L33*$C$21/N40)</f>
        <v>4</v>
      </c>
      <c r="U33" s="62">
        <f>IF(OR(ISERROR(M33*$C$21/N40),EXACT(MID(B33,1,4),"WPL:")),0,M33*$C$21/N40)</f>
        <v>4</v>
      </c>
      <c r="V33" s="69">
        <f>IF(OR(ISERROR(M33*$C$20),EXACT(MID(B33,1,4),"WPL:")),0,N33*$C$21/N40)</f>
        <v>4</v>
      </c>
      <c r="W33" s="70">
        <f>IF(OR(ISERROR(L33*$C$20/$C$16),MID(B33,1,4)&lt;&gt;"WPL:"),0,L33*$C$20/$C$16)</f>
        <v>4</v>
      </c>
      <c r="X33" s="65">
        <f>IF(OR(ISERROR(32590.47*$C$21/N40),MID(B33,1,4)&lt;&gt;"WPL:"),0,32590.47*$C$21/N40)</f>
        <v>4</v>
      </c>
      <c r="Y33" s="71">
        <f>IF(OR(ISERROR(6133387.9*$C$20/$C$16),MID(B33,1,4)&lt;&gt;"WPL:"),0,6133387.9*$C$20/$C$16)</f>
        <v>4</v>
      </c>
      <c r="Z33" s="72">
        <f>IF(OR(ISERROR(L33*$C$21/N40),MID(B33,1,4)&lt;&gt;"WPL:"),0,L33*$C$21/N40)</f>
        <v>4</v>
      </c>
      <c r="AA33" s="73">
        <f>IF(OR(ISERROR(32590.47*$C$21/N40),MID(B33,1,4)&lt;&gt;"WPL:"),0,32590.47*$C$21/N40)</f>
        <v>4</v>
      </c>
      <c r="AB33" s="71">
        <f>IF(OR(ISERROR(6133387.9*$C$20),MID(B33,1,4)&lt;&gt;"WPL:"),0,6133387.9*$C$21/N40)</f>
        <v>4</v>
      </c>
      <c r="AC33" s="69"/>
      <c r="AD33" s="74" t="s">
        <v>225</v>
      </c>
      <c r="AE33" s="74" t="s">
        <v>226</v>
      </c>
      <c r="AF33" s="74">
        <v>19.8027397260274</v>
      </c>
      <c r="AG33" s="74">
        <v>4</v>
      </c>
      <c r="AH33" s="74">
        <v>1</v>
      </c>
      <c r="AI33" s="74">
        <v>0.9036050692</v>
      </c>
      <c r="AJ33" s="74">
        <v>15.2367553299</v>
      </c>
      <c r="AK33" s="74">
        <v>15.1003081797</v>
      </c>
      <c r="AL33" s="74">
        <v>281.6444558089</v>
      </c>
      <c r="AM33" s="75" t="s">
        <v>90</v>
      </c>
    </row>
    <row r="34" spans="1:39" ht="13.5" customHeight="1" outlineLevel="1">
      <c r="A34" s="57" t="s">
        <v>227</v>
      </c>
      <c r="B34" s="58" t="s">
        <v>228</v>
      </c>
      <c r="C34" s="59" t="s">
        <v>229</v>
      </c>
      <c r="D34" s="60" t="s">
        <v>230</v>
      </c>
      <c r="E34" s="60">
        <v>110000</v>
      </c>
      <c r="F34" s="58" t="s">
        <v>74</v>
      </c>
      <c r="G34" s="61" t="s">
        <v>75</v>
      </c>
      <c r="H34" s="62">
        <v>260</v>
      </c>
      <c r="I34" s="63">
        <v>165.304</v>
      </c>
      <c r="J34" s="60" t="s">
        <v>17</v>
      </c>
      <c r="K34" s="61" t="s">
        <v>76</v>
      </c>
      <c r="L34" s="64">
        <v>2382000</v>
      </c>
      <c r="M34" s="62">
        <v>72112.6</v>
      </c>
      <c r="N34" s="65">
        <v>4009653.88</v>
      </c>
      <c r="O34" s="65">
        <v>7.7</v>
      </c>
      <c r="P34" s="64">
        <v>7.668886447941723</v>
      </c>
      <c r="Q34" s="66">
        <f>IF(OR(ISERROR(L34*$C$20/$C$16),EXACT(MID(B34,1,4),"WPL:")),0,L34*$C$20/$C$16)</f>
        <v>4</v>
      </c>
      <c r="R34" s="67">
        <f>IF(OR(ISERROR(M34*$C$20/$C$16),EXACT(MID(B34,1,4),"WPL:")),0,M34*$C$20/$C$16)</f>
        <v>4</v>
      </c>
      <c r="S34" s="68">
        <f>IF(OR(ISERROR(N34*$C$20/$C$16),EXACT(MID(B34,1,4),"WPL:")),0,N34*$C$20/$C$16)</f>
        <v>4</v>
      </c>
      <c r="T34" s="62">
        <f>IF(OR(ISERROR(L34*$C$21/N40),EXACT(MID(B34,1,4),"WPL:")),0,L34*$C$21/N40)</f>
        <v>4</v>
      </c>
      <c r="U34" s="62">
        <f>IF(OR(ISERROR(M34*$C$21/N40),EXACT(MID(B34,1,4),"WPL:")),0,M34*$C$21/N40)</f>
        <v>4</v>
      </c>
      <c r="V34" s="69">
        <f>IF(OR(ISERROR(M34*$C$20),EXACT(MID(B34,1,4),"WPL:")),0,N34*$C$21/N40)</f>
        <v>4</v>
      </c>
      <c r="W34" s="70">
        <f>IF(OR(ISERROR(L34*$C$20/$C$16),MID(B34,1,4)&lt;&gt;"WPL:"),0,L34*$C$20/$C$16)</f>
        <v>4</v>
      </c>
      <c r="X34" s="65">
        <f>IF(OR(ISERROR(72112.6*$C$21/N40),MID(B34,1,4)&lt;&gt;"WPL:"),0,72112.6*$C$21/N40)</f>
        <v>4</v>
      </c>
      <c r="Y34" s="71">
        <f>IF(OR(ISERROR(4009653.88*$C$20/$C$16),MID(B34,1,4)&lt;&gt;"WPL:"),0,4009653.88*$C$20/$C$16)</f>
        <v>4</v>
      </c>
      <c r="Z34" s="72">
        <f>IF(OR(ISERROR(L34*$C$21/N40),MID(B34,1,4)&lt;&gt;"WPL:"),0,L34*$C$21/N40)</f>
        <v>4</v>
      </c>
      <c r="AA34" s="73">
        <f>IF(OR(ISERROR(72112.6*$C$21/N40),MID(B34,1,4)&lt;&gt;"WPL:"),0,72112.6*$C$21/N40)</f>
        <v>4</v>
      </c>
      <c r="AB34" s="71">
        <f>IF(OR(ISERROR(4009653.88*$C$20),MID(B34,1,4)&lt;&gt;"WPL:"),0,4009653.88*$C$21/N40)</f>
        <v>4</v>
      </c>
      <c r="AC34" s="69"/>
      <c r="AD34" s="74" t="s">
        <v>242</v>
      </c>
      <c r="AE34" s="74" t="s">
        <v>243</v>
      </c>
      <c r="AF34" s="74">
        <v>22.2986301369863</v>
      </c>
      <c r="AG34" s="74">
        <v>4.25</v>
      </c>
      <c r="AH34" s="74">
        <v>1</v>
      </c>
      <c r="AI34" s="74">
        <v>0.976532217</v>
      </c>
      <c r="AJ34" s="74">
        <v>16.3388597111</v>
      </c>
      <c r="AK34" s="74">
        <v>16.1808485124</v>
      </c>
      <c r="AL34" s="74">
        <v>332.2517332682</v>
      </c>
      <c r="AM34" s="75" t="s">
        <v>90</v>
      </c>
    </row>
    <row r="35" spans="1:39" ht="13.5" customHeight="1" outlineLevel="1">
      <c r="A35" s="57" t="s">
        <v>244</v>
      </c>
      <c r="B35" s="58" t="s">
        <v>245</v>
      </c>
      <c r="C35" s="59" t="s">
        <v>246</v>
      </c>
      <c r="D35" s="60" t="s">
        <v>247</v>
      </c>
      <c r="E35" s="60">
        <v>110000</v>
      </c>
      <c r="F35" s="58" t="s">
        <v>74</v>
      </c>
      <c r="G35" s="61" t="s">
        <v>75</v>
      </c>
      <c r="H35" s="62">
        <v>260</v>
      </c>
      <c r="I35" s="63">
        <v>177.643</v>
      </c>
      <c r="J35" s="60" t="s">
        <v>17</v>
      </c>
      <c r="K35" s="61" t="s">
        <v>76</v>
      </c>
      <c r="L35" s="64">
        <v>2722000</v>
      </c>
      <c r="M35" s="62">
        <v>92100.55</v>
      </c>
      <c r="N35" s="65">
        <v>4927543.01</v>
      </c>
      <c r="O35" s="65">
        <v>9.4</v>
      </c>
      <c r="P35" s="64">
        <v>9.424446334265383</v>
      </c>
      <c r="Q35" s="66">
        <f>IF(OR(ISERROR(L35*$C$20/$C$16),EXACT(MID(B35,1,4),"WPL:")),0,L35*$C$20/$C$16)</f>
        <v>4</v>
      </c>
      <c r="R35" s="67">
        <f>IF(OR(ISERROR(M35*$C$20/$C$16),EXACT(MID(B35,1,4),"WPL:")),0,M35*$C$20/$C$16)</f>
        <v>4</v>
      </c>
      <c r="S35" s="68">
        <f>IF(OR(ISERROR(N35*$C$20/$C$16),EXACT(MID(B35,1,4),"WPL:")),0,N35*$C$20/$C$16)</f>
        <v>4</v>
      </c>
      <c r="T35" s="62">
        <f>IF(OR(ISERROR(L35*$C$21/N40),EXACT(MID(B35,1,4),"WPL:")),0,L35*$C$21/N40)</f>
        <v>4</v>
      </c>
      <c r="U35" s="62">
        <f>IF(OR(ISERROR(M35*$C$21/N40),EXACT(MID(B35,1,4),"WPL:")),0,M35*$C$21/N40)</f>
        <v>4</v>
      </c>
      <c r="V35" s="69">
        <f>IF(OR(ISERROR(M35*$C$20),EXACT(MID(B35,1,4),"WPL:")),0,N35*$C$21/N40)</f>
        <v>4</v>
      </c>
      <c r="W35" s="70">
        <f>IF(OR(ISERROR(L35*$C$20/$C$16),MID(B35,1,4)&lt;&gt;"WPL:"),0,L35*$C$20/$C$16)</f>
        <v>4</v>
      </c>
      <c r="X35" s="65">
        <f>IF(OR(ISERROR(92100.55*$C$21/N40),MID(B35,1,4)&lt;&gt;"WPL:"),0,92100.55*$C$21/N40)</f>
        <v>4</v>
      </c>
      <c r="Y35" s="71">
        <f>IF(OR(ISERROR(4927543.01*$C$20/$C$16),MID(B35,1,4)&lt;&gt;"WPL:"),0,4927543.01*$C$20/$C$16)</f>
        <v>4</v>
      </c>
      <c r="Z35" s="72">
        <f>IF(OR(ISERROR(L35*$C$21/N40),MID(B35,1,4)&lt;&gt;"WPL:"),0,L35*$C$21/N40)</f>
        <v>4</v>
      </c>
      <c r="AA35" s="73">
        <f>IF(OR(ISERROR(92100.55*$C$21/N40),MID(B35,1,4)&lt;&gt;"WPL:"),0,92100.55*$C$21/N40)</f>
        <v>4</v>
      </c>
      <c r="AB35" s="71">
        <f>IF(OR(ISERROR(4927543.01*$C$20),MID(B35,1,4)&lt;&gt;"WPL:"),0,4927543.01*$C$21/N40)</f>
        <v>4</v>
      </c>
      <c r="AC35" s="69"/>
      <c r="AD35" s="74" t="s">
        <v>259</v>
      </c>
      <c r="AE35" s="74" t="s">
        <v>260</v>
      </c>
      <c r="AF35" s="74">
        <v>23.2986301369863</v>
      </c>
      <c r="AG35" s="74">
        <v>4.75</v>
      </c>
      <c r="AH35" s="74">
        <v>1</v>
      </c>
      <c r="AI35" s="74">
        <v>0.998195505</v>
      </c>
      <c r="AJ35" s="74">
        <v>16.5733306395</v>
      </c>
      <c r="AK35" s="74">
        <v>16.4095314343</v>
      </c>
      <c r="AL35" s="74">
        <v>346.4399029336</v>
      </c>
      <c r="AM35" s="75" t="s">
        <v>90</v>
      </c>
    </row>
    <row r="36" spans="1:39" ht="13.5" customHeight="1" outlineLevel="1">
      <c r="A36" s="57" t="s">
        <v>261</v>
      </c>
      <c r="B36" s="58" t="s">
        <v>262</v>
      </c>
      <c r="C36" s="59" t="s">
        <v>263</v>
      </c>
      <c r="D36" s="60" t="s">
        <v>264</v>
      </c>
      <c r="E36" s="60">
        <v>110000</v>
      </c>
      <c r="F36" s="58" t="s">
        <v>74</v>
      </c>
      <c r="G36" s="61" t="s">
        <v>75</v>
      </c>
      <c r="H36" s="62">
        <v>260</v>
      </c>
      <c r="I36" s="63">
        <v>147.859</v>
      </c>
      <c r="J36" s="60" t="s">
        <v>17</v>
      </c>
      <c r="K36" s="61" t="s">
        <v>76</v>
      </c>
      <c r="L36" s="64">
        <v>2552000</v>
      </c>
      <c r="M36" s="62">
        <v>59080.55</v>
      </c>
      <c r="N36" s="65">
        <v>3832442.23</v>
      </c>
      <c r="O36" s="65">
        <v>7.3</v>
      </c>
      <c r="P36" s="64">
        <v>7.329950454518172</v>
      </c>
      <c r="Q36" s="66">
        <f>IF(OR(ISERROR(L36*$C$20/$C$16),EXACT(MID(B36,1,4),"WPL:")),0,L36*$C$20/$C$16)</f>
        <v>4</v>
      </c>
      <c r="R36" s="67">
        <f>IF(OR(ISERROR(M36*$C$20/$C$16),EXACT(MID(B36,1,4),"WPL:")),0,M36*$C$20/$C$16)</f>
        <v>4</v>
      </c>
      <c r="S36" s="68">
        <f>IF(OR(ISERROR(N36*$C$20/$C$16),EXACT(MID(B36,1,4),"WPL:")),0,N36*$C$20/$C$16)</f>
        <v>4</v>
      </c>
      <c r="T36" s="62">
        <f>IF(OR(ISERROR(L36*$C$21/N40),EXACT(MID(B36,1,4),"WPL:")),0,L36*$C$21/N40)</f>
        <v>4</v>
      </c>
      <c r="U36" s="62">
        <f>IF(OR(ISERROR(M36*$C$21/N40),EXACT(MID(B36,1,4),"WPL:")),0,M36*$C$21/N40)</f>
        <v>4</v>
      </c>
      <c r="V36" s="69">
        <f>IF(OR(ISERROR(M36*$C$20),EXACT(MID(B36,1,4),"WPL:")),0,N36*$C$21/N40)</f>
        <v>4</v>
      </c>
      <c r="W36" s="70">
        <f>IF(OR(ISERROR(L36*$C$20/$C$16),MID(B36,1,4)&lt;&gt;"WPL:"),0,L36*$C$20/$C$16)</f>
        <v>4</v>
      </c>
      <c r="X36" s="65">
        <f>IF(OR(ISERROR(59080.55*$C$21/N40),MID(B36,1,4)&lt;&gt;"WPL:"),0,59080.55*$C$21/N40)</f>
        <v>4</v>
      </c>
      <c r="Y36" s="71">
        <f>IF(OR(ISERROR(3832442.23*$C$20/$C$16),MID(B36,1,4)&lt;&gt;"WPL:"),0,3832442.23*$C$20/$C$16)</f>
        <v>4</v>
      </c>
      <c r="Z36" s="72">
        <f>IF(OR(ISERROR(L36*$C$21/N40),MID(B36,1,4)&lt;&gt;"WPL:"),0,L36*$C$21/N40)</f>
        <v>4</v>
      </c>
      <c r="AA36" s="73">
        <f>IF(OR(ISERROR(59080.55*$C$21/N40),MID(B36,1,4)&lt;&gt;"WPL:"),0,59080.55*$C$21/N40)</f>
        <v>4</v>
      </c>
      <c r="AB36" s="71">
        <f>IF(OR(ISERROR(3832442.23*$C$20),MID(B36,1,4)&lt;&gt;"WPL:"),0,3832442.23*$C$21/N40)</f>
        <v>4</v>
      </c>
      <c r="AC36" s="69"/>
      <c r="AD36" s="74" t="s">
        <v>276</v>
      </c>
      <c r="AE36" s="74" t="s">
        <v>277</v>
      </c>
      <c r="AF36" s="74">
        <v>25.2986301369863</v>
      </c>
      <c r="AG36" s="74">
        <v>3.25</v>
      </c>
      <c r="AH36" s="74">
        <v>1</v>
      </c>
      <c r="AI36" s="74">
        <v>1.0782245811</v>
      </c>
      <c r="AJ36" s="74">
        <v>18.8493528226</v>
      </c>
      <c r="AK36" s="74">
        <v>18.6482824572</v>
      </c>
      <c r="AL36" s="74">
        <v>435.200114752</v>
      </c>
      <c r="AM36" s="75" t="s">
        <v>90</v>
      </c>
    </row>
    <row r="37" spans="1:39" ht="13.5" customHeight="1" outlineLevel="1">
      <c r="A37" s="57" t="s">
        <v>278</v>
      </c>
      <c r="B37" s="58" t="s">
        <v>279</v>
      </c>
      <c r="C37" s="59" t="s">
        <v>280</v>
      </c>
      <c r="D37" s="60" t="s">
        <v>281</v>
      </c>
      <c r="E37" s="60">
        <v>110000</v>
      </c>
      <c r="F37" s="58" t="s">
        <v>74</v>
      </c>
      <c r="G37" s="61" t="s">
        <v>75</v>
      </c>
      <c r="H37" s="62">
        <v>260</v>
      </c>
      <c r="I37" s="63">
        <v>131.722</v>
      </c>
      <c r="J37" s="60" t="s">
        <v>17</v>
      </c>
      <c r="K37" s="61" t="s">
        <v>76</v>
      </c>
      <c r="L37" s="64">
        <v>3233000</v>
      </c>
      <c r="M37" s="62">
        <v>57573.97</v>
      </c>
      <c r="N37" s="65">
        <v>4316146.23</v>
      </c>
      <c r="O37" s="65">
        <v>8.3</v>
      </c>
      <c r="P37" s="64">
        <v>8.255085431608816</v>
      </c>
      <c r="Q37" s="66">
        <f>IF(OR(ISERROR(L37*$C$20/$C$16),EXACT(MID(B37,1,4),"WPL:")),0,L37*$C$20/$C$16)</f>
        <v>4</v>
      </c>
      <c r="R37" s="67">
        <f>IF(OR(ISERROR(M37*$C$20/$C$16),EXACT(MID(B37,1,4),"WPL:")),0,M37*$C$20/$C$16)</f>
        <v>4</v>
      </c>
      <c r="S37" s="68">
        <f>IF(OR(ISERROR(N37*$C$20/$C$16),EXACT(MID(B37,1,4),"WPL:")),0,N37*$C$20/$C$16)</f>
        <v>4</v>
      </c>
      <c r="T37" s="62">
        <f>IF(OR(ISERROR(L37*$C$21/N40),EXACT(MID(B37,1,4),"WPL:")),0,L37*$C$21/N40)</f>
        <v>4</v>
      </c>
      <c r="U37" s="62">
        <f>IF(OR(ISERROR(M37*$C$21/N40),EXACT(MID(B37,1,4),"WPL:")),0,M37*$C$21/N40)</f>
        <v>4</v>
      </c>
      <c r="V37" s="69">
        <f>IF(OR(ISERROR(M37*$C$20),EXACT(MID(B37,1,4),"WPL:")),0,N37*$C$21/N40)</f>
        <v>4</v>
      </c>
      <c r="W37" s="70">
        <f>IF(OR(ISERROR(L37*$C$20/$C$16),MID(B37,1,4)&lt;&gt;"WPL:"),0,L37*$C$20/$C$16)</f>
        <v>4</v>
      </c>
      <c r="X37" s="65">
        <f>IF(OR(ISERROR(57573.97*$C$21/N40),MID(B37,1,4)&lt;&gt;"WPL:"),0,57573.97*$C$21/N40)</f>
        <v>4</v>
      </c>
      <c r="Y37" s="71">
        <f>IF(OR(ISERROR(4316146.23*$C$20/$C$16),MID(B37,1,4)&lt;&gt;"WPL:"),0,4316146.23*$C$20/$C$16)</f>
        <v>4</v>
      </c>
      <c r="Z37" s="72">
        <f>IF(OR(ISERROR(L37*$C$21/N40),MID(B37,1,4)&lt;&gt;"WPL:"),0,L37*$C$21/N40)</f>
        <v>4</v>
      </c>
      <c r="AA37" s="73">
        <f>IF(OR(ISERROR(57573.97*$C$21/N40),MID(B37,1,4)&lt;&gt;"WPL:"),0,57573.97*$C$21/N40)</f>
        <v>4</v>
      </c>
      <c r="AB37" s="71">
        <f>IF(OR(ISERROR(4316146.23*$C$20),MID(B37,1,4)&lt;&gt;"WPL:"),0,4316146.23*$C$21/N40)</f>
        <v>4</v>
      </c>
      <c r="AC37" s="69"/>
      <c r="AD37" s="74" t="s">
        <v>293</v>
      </c>
      <c r="AE37" s="74" t="s">
        <v>294</v>
      </c>
      <c r="AF37" s="74">
        <v>27.2986301369863</v>
      </c>
      <c r="AG37" s="74">
        <v>2.5</v>
      </c>
      <c r="AH37" s="74">
        <v>1</v>
      </c>
      <c r="AI37" s="74">
        <v>1.1409310987</v>
      </c>
      <c r="AJ37" s="74">
        <v>20.886340873</v>
      </c>
      <c r="AK37" s="74">
        <v>20.6507302693</v>
      </c>
      <c r="AL37" s="74">
        <v>524.5121573836</v>
      </c>
      <c r="AM37" s="75" t="s">
        <v>90</v>
      </c>
    </row>
    <row r="38" spans="1:39" ht="13.5" customHeight="1" outlineLevel="1">
      <c r="A38" s="1"/>
      <c r="B38" s="2" t="s">
        <v>295</v>
      </c>
      <c r="C38" s="3"/>
      <c r="D38" s="3"/>
      <c r="E38" s="3"/>
      <c r="F38" s="3"/>
      <c r="G38" s="4"/>
      <c r="H38" s="4"/>
      <c r="I38" s="4"/>
      <c r="J38" s="3"/>
      <c r="K38" s="4"/>
      <c r="L38" s="4"/>
      <c r="M38" s="4"/>
      <c r="N38" s="76">
        <v>570764.38</v>
      </c>
      <c r="O38" s="76">
        <v>1.1</v>
      </c>
      <c r="P38" s="77">
        <v>1.0916471470474802</v>
      </c>
      <c r="Q38" s="78"/>
      <c r="R38" s="79"/>
      <c r="S38" s="80"/>
      <c r="T38" s="4"/>
      <c r="U38" s="4"/>
      <c r="V38" s="81"/>
      <c r="W38" s="3"/>
      <c r="X38" s="3"/>
      <c r="Y38" s="81"/>
      <c r="Z38" s="82"/>
      <c r="AA38" s="82"/>
      <c r="AB38" s="81"/>
      <c r="AC38" s="81"/>
      <c r="AD38" s="3"/>
      <c r="AE38" s="3"/>
      <c r="AF38" s="3"/>
      <c r="AG38" s="3"/>
      <c r="AH38" s="3"/>
      <c r="AI38" s="3"/>
      <c r="AJ38" s="3"/>
      <c r="AK38" s="3"/>
      <c r="AL38" s="3"/>
      <c r="AM38" s="81"/>
    </row>
    <row r="39" spans="1:39" ht="13.5" customHeight="1" outlineLevel="1">
      <c r="A39" s="1"/>
      <c r="B39" s="2" t="s">
        <v>296</v>
      </c>
      <c r="C39" s="3"/>
      <c r="D39" s="3"/>
      <c r="E39" s="3"/>
      <c r="F39" s="3"/>
      <c r="G39" s="4"/>
      <c r="H39" s="4"/>
      <c r="I39" s="4"/>
      <c r="J39" s="3"/>
      <c r="K39" s="4"/>
      <c r="L39" s="4"/>
      <c r="M39" s="4"/>
      <c r="N39" s="76">
        <v>-4535.469999994617</v>
      </c>
      <c r="O39" s="76">
        <v>0</v>
      </c>
      <c r="P39" s="77">
        <v>-0.008674565301383311</v>
      </c>
      <c r="Q39" s="78"/>
      <c r="R39" s="79"/>
      <c r="S39" s="80"/>
      <c r="T39" s="4"/>
      <c r="U39" s="4"/>
      <c r="V39" s="81"/>
      <c r="W39" s="3"/>
      <c r="X39" s="3"/>
      <c r="Y39" s="81"/>
      <c r="Z39" s="82"/>
      <c r="AA39" s="82"/>
      <c r="AB39" s="81"/>
      <c r="AC39" s="81"/>
      <c r="AD39" s="3"/>
      <c r="AE39" s="3"/>
      <c r="AF39" s="3"/>
      <c r="AG39" s="3"/>
      <c r="AH39" s="3"/>
      <c r="AI39" s="3"/>
      <c r="AJ39" s="3"/>
      <c r="AK39" s="3"/>
      <c r="AL39" s="3"/>
      <c r="AM39" s="81"/>
    </row>
    <row r="40" spans="1:39" ht="13.5" customHeight="1" outlineLevel="1">
      <c r="A40" s="83"/>
      <c r="B40" s="84" t="s">
        <v>297</v>
      </c>
      <c r="C40" s="85"/>
      <c r="D40" s="85"/>
      <c r="E40" s="85"/>
      <c r="F40" s="85"/>
      <c r="G40" s="86"/>
      <c r="H40" s="86"/>
      <c r="I40" s="86"/>
      <c r="J40" s="85"/>
      <c r="K40" s="86"/>
      <c r="L40" s="86">
        <f>SUM(L25:L39)</f>
        <v>4</v>
      </c>
      <c r="M40" s="86">
        <f>SUM(M25:M39)</f>
        <v>4</v>
      </c>
      <c r="N40" s="85">
        <f>SUM(N25:N39)</f>
        <v>4</v>
      </c>
      <c r="O40" s="85">
        <f>SUM(O25:O39)</f>
        <v>4</v>
      </c>
      <c r="P40" s="86">
        <f>SUM(P25:P39)</f>
        <v>4</v>
      </c>
      <c r="Q40" s="87">
        <f>SUM(Q25:Q39)</f>
        <v>4</v>
      </c>
      <c r="R40" s="86">
        <f>SUM(R25:R39)</f>
        <v>4</v>
      </c>
      <c r="S40" s="88">
        <f>SUM(S25:S39)</f>
        <v>4</v>
      </c>
      <c r="T40" s="86"/>
      <c r="U40" s="86"/>
      <c r="V40" s="89"/>
      <c r="W40" s="90"/>
      <c r="X40" s="90"/>
      <c r="Y40" s="89"/>
      <c r="Z40" s="85"/>
      <c r="AA40" s="85"/>
      <c r="AB40" s="89"/>
      <c r="AC40" s="89"/>
      <c r="AD40" s="83"/>
      <c r="AE40" s="83"/>
      <c r="AF40" s="83">
        <v>18.921516444448205</v>
      </c>
      <c r="AG40" s="83">
        <v>4.324725579697954</v>
      </c>
      <c r="AH40" s="83"/>
      <c r="AI40" s="83">
        <v>0.8090370981863834</v>
      </c>
      <c r="AJ40" s="83">
        <v>14.40586723788377</v>
      </c>
      <c r="AK40" s="83">
        <v>14.457045177813228</v>
      </c>
      <c r="AL40" s="83">
        <v>281.0750509316091</v>
      </c>
      <c r="AM40" s="89"/>
    </row>
    <row r="41" spans="1:39" ht="13.5" customHeight="1" outlineLevel="1">
      <c r="A41" s="1"/>
      <c r="B41" s="2" t="s">
        <v>0</v>
      </c>
      <c r="C41" s="3"/>
      <c r="D41" s="3"/>
      <c r="E41" s="3"/>
      <c r="F41" s="3"/>
      <c r="G41" s="4"/>
      <c r="H41" s="4"/>
      <c r="I41" s="4"/>
      <c r="J41" s="3"/>
      <c r="K41" s="4"/>
      <c r="L41" s="4"/>
      <c r="M41" s="4"/>
      <c r="N41" s="3"/>
      <c r="O41" s="3"/>
      <c r="P41" s="4"/>
      <c r="Q41" s="79"/>
      <c r="R41" s="79"/>
      <c r="S41" s="91"/>
      <c r="T41" s="4"/>
      <c r="U41" s="4"/>
      <c r="V41" s="82"/>
      <c r="W41" s="82"/>
      <c r="X41" s="82"/>
      <c r="Y41" s="82"/>
      <c r="Z41" s="82"/>
      <c r="AA41" s="82"/>
      <c r="AB41" s="82"/>
      <c r="AC41" s="82"/>
      <c r="AD41" s="82"/>
      <c r="AE41" s="82"/>
      <c r="AF41" s="82"/>
      <c r="AG41" s="82"/>
      <c r="AH41" s="82"/>
      <c r="AI41" s="82"/>
      <c r="AJ41" s="82"/>
      <c r="AK41" s="82"/>
      <c r="AL41" s="82"/>
      <c r="AM41" s="82"/>
    </row>
    <row r="42" spans="1:39" ht="13.5" customHeight="1" outlineLevel="1">
      <c r="A42" s="1"/>
      <c r="B42" s="2" t="s">
        <v>0</v>
      </c>
      <c r="C42" s="3"/>
      <c r="D42" s="3"/>
      <c r="E42" s="3"/>
      <c r="F42" s="3"/>
      <c r="G42" s="4"/>
      <c r="H42" s="4"/>
      <c r="I42" s="4"/>
      <c r="J42" s="3"/>
      <c r="K42" s="4"/>
      <c r="L42" s="4"/>
      <c r="M42" s="4"/>
      <c r="N42" s="3"/>
      <c r="O42" s="3"/>
      <c r="P42" s="4"/>
      <c r="Q42" s="79"/>
      <c r="R42" s="79"/>
      <c r="S42" s="91"/>
      <c r="T42" s="4"/>
      <c r="U42" s="4"/>
      <c r="V42" s="82"/>
      <c r="W42" s="82"/>
      <c r="X42" s="82"/>
      <c r="Y42" s="82"/>
      <c r="Z42" s="82"/>
      <c r="AA42" s="82"/>
      <c r="AB42" s="82"/>
      <c r="AC42" s="82"/>
      <c r="AD42" s="82"/>
      <c r="AE42" s="82"/>
      <c r="AF42" s="82"/>
      <c r="AG42" s="82"/>
      <c r="AH42" s="82"/>
      <c r="AI42" s="82"/>
      <c r="AJ42" s="82"/>
      <c r="AK42" s="82"/>
      <c r="AL42" s="82"/>
      <c r="AM42" s="82"/>
    </row>
    <row r="43" spans="1:39" ht="13.5" customHeight="1" outlineLevel="1">
      <c r="A43" s="92"/>
      <c r="B43" s="93" t="s">
        <v>306</v>
      </c>
      <c r="C43" s="93"/>
      <c r="D43" s="93"/>
      <c r="E43" s="93"/>
      <c r="F43" s="93"/>
      <c r="G43" s="94"/>
      <c r="H43" s="94"/>
      <c r="I43" s="94"/>
      <c r="J43" s="93"/>
      <c r="K43" s="94"/>
      <c r="L43" s="94"/>
      <c r="M43" s="94"/>
      <c r="N43" s="93"/>
      <c r="O43" s="93"/>
      <c r="P43" s="94"/>
      <c r="Q43" s="95"/>
      <c r="R43" s="95"/>
      <c r="S43" s="96"/>
      <c r="T43" s="94"/>
      <c r="U43" s="94"/>
      <c r="V43" s="97"/>
      <c r="W43" s="97"/>
      <c r="X43" s="97"/>
      <c r="Y43" s="97"/>
      <c r="Z43" s="97"/>
      <c r="AA43" s="97"/>
      <c r="AB43" s="97"/>
      <c r="AC43" s="97"/>
      <c r="AD43" s="97"/>
      <c r="AE43" s="97"/>
      <c r="AF43" s="97"/>
      <c r="AG43" s="97"/>
      <c r="AH43" s="97"/>
      <c r="AI43" s="97"/>
      <c r="AJ43" s="97"/>
      <c r="AK43" s="97"/>
      <c r="AL43" s="97"/>
      <c r="AM43" s="97"/>
    </row>
    <row r="44" spans="1:39" ht="13.5" customHeight="1" outlineLevel="1">
      <c r="A44" s="1"/>
      <c r="B44" s="2" t="s">
        <v>0</v>
      </c>
      <c r="C44" s="3"/>
      <c r="D44" s="3"/>
      <c r="E44" s="3"/>
      <c r="F44" s="3"/>
      <c r="G44" s="4"/>
      <c r="H44" s="4"/>
      <c r="I44" s="4"/>
      <c r="J44" s="3"/>
      <c r="K44" s="4"/>
      <c r="L44" s="4"/>
      <c r="M44" s="4"/>
      <c r="N44" s="3"/>
      <c r="O44" s="3"/>
      <c r="P44" s="4"/>
      <c r="Q44" s="79"/>
      <c r="R44" s="79"/>
      <c r="S44" s="91"/>
      <c r="T44" s="4"/>
      <c r="U44" s="4"/>
      <c r="V44" s="82"/>
      <c r="W44" s="82"/>
      <c r="X44" s="82"/>
      <c r="Y44" s="82"/>
      <c r="Z44" s="82"/>
      <c r="AA44" s="82"/>
      <c r="AB44" s="82"/>
      <c r="AC44" s="82"/>
      <c r="AD44" s="82"/>
      <c r="AE44" s="82"/>
      <c r="AF44" s="82"/>
      <c r="AG44" s="82"/>
      <c r="AH44" s="82"/>
      <c r="AI44" s="82"/>
      <c r="AJ44" s="82"/>
      <c r="AK44" s="82"/>
      <c r="AL44" s="82"/>
      <c r="AM44" s="82"/>
    </row>
    <row r="45" spans="1:39" ht="44.25" customHeight="1" outlineLevel="1">
      <c r="A45" s="98"/>
      <c r="B45" s="31" t="s">
        <v>29</v>
      </c>
      <c r="C45" s="31" t="s">
        <v>30</v>
      </c>
      <c r="D45" s="99"/>
      <c r="E45" s="99"/>
      <c r="F45" s="99"/>
      <c r="G45" s="99"/>
      <c r="H45" s="99"/>
      <c r="I45" s="100"/>
      <c r="J45" s="100"/>
      <c r="K45" s="100"/>
      <c r="L45" s="100" t="s">
        <v>36</v>
      </c>
      <c r="M45" s="100" t="s">
        <v>37</v>
      </c>
      <c r="N45" s="100" t="s">
        <v>38</v>
      </c>
      <c r="O45" s="100" t="s">
        <v>39</v>
      </c>
      <c r="P45" s="101"/>
      <c r="Q45" s="102" t="s">
        <v>40</v>
      </c>
      <c r="R45" s="103" t="s">
        <v>41</v>
      </c>
      <c r="S45" s="39" t="s">
        <v>42</v>
      </c>
      <c r="T45" s="104" t="s">
        <v>43</v>
      </c>
      <c r="U45" s="104" t="s">
        <v>44</v>
      </c>
      <c r="V45" s="105" t="s">
        <v>45</v>
      </c>
      <c r="W45" s="82"/>
      <c r="X45" s="82"/>
      <c r="Y45" s="82"/>
      <c r="Z45" s="82"/>
      <c r="AA45" s="82"/>
      <c r="AB45" s="82"/>
      <c r="AC45" s="82"/>
      <c r="AD45" s="82"/>
      <c r="AE45" s="82"/>
      <c r="AF45" s="82"/>
      <c r="AG45" s="82"/>
      <c r="AH45" s="82"/>
      <c r="AI45" s="82"/>
      <c r="AJ45" s="82"/>
      <c r="AK45" s="82"/>
      <c r="AL45" s="82"/>
      <c r="AM45" s="82"/>
    </row>
    <row r="46" spans="1:39" ht="18" customHeight="1" outlineLevel="1">
      <c r="A46" s="110"/>
      <c r="B46" s="54"/>
      <c r="C46" s="54"/>
      <c r="D46" s="54"/>
      <c r="E46" s="54"/>
      <c r="F46" s="54"/>
      <c r="G46" s="54"/>
      <c r="H46" s="54"/>
      <c r="I46" s="106"/>
      <c r="J46" s="106"/>
      <c r="K46" s="106"/>
      <c r="L46" s="106"/>
      <c r="M46" s="106" t="s">
        <v>17</v>
      </c>
      <c r="N46" s="106" t="s">
        <v>17</v>
      </c>
      <c r="O46" s="106" t="s">
        <v>64</v>
      </c>
      <c r="P46" s="106" t="s">
        <v>65</v>
      </c>
      <c r="Q46" s="107"/>
      <c r="R46" s="108" t="s">
        <v>17</v>
      </c>
      <c r="S46" s="49" t="s">
        <v>17</v>
      </c>
      <c r="T46" s="52"/>
      <c r="U46" s="52" t="s">
        <v>17</v>
      </c>
      <c r="V46" s="109" t="s">
        <v>17</v>
      </c>
      <c r="W46" s="82"/>
      <c r="X46" s="82"/>
      <c r="Y46" s="82"/>
      <c r="Z46" s="82"/>
      <c r="AA46" s="82"/>
      <c r="AB46" s="82"/>
      <c r="AC46" s="82"/>
      <c r="AD46" s="82"/>
      <c r="AE46" s="82"/>
      <c r="AF46" s="82"/>
      <c r="AG46" s="82"/>
      <c r="AH46" s="82"/>
      <c r="AI46" s="82"/>
      <c r="AJ46" s="82"/>
      <c r="AK46" s="82"/>
      <c r="AL46" s="82"/>
      <c r="AM46" s="82"/>
    </row>
    <row r="47" spans="1:39" ht="12.75" outlineLevel="1">
      <c r="A47" s="111"/>
      <c r="B47" s="112"/>
      <c r="C47" s="111"/>
      <c r="D47" s="111"/>
      <c r="E47" s="111"/>
      <c r="F47" s="111"/>
      <c r="G47" s="111"/>
      <c r="H47" s="111"/>
      <c r="I47" s="111"/>
      <c r="J47" s="111"/>
      <c r="K47" s="111"/>
      <c r="L47" s="111"/>
      <c r="M47" s="111"/>
      <c r="N47" s="113"/>
      <c r="O47" s="114"/>
      <c r="P47" s="114"/>
      <c r="Q47" s="115"/>
      <c r="R47" s="111"/>
      <c r="S47" s="116"/>
      <c r="T47" s="117"/>
      <c r="U47" s="117"/>
      <c r="V47" s="116"/>
      <c r="W47" s="82"/>
      <c r="X47" s="82"/>
      <c r="Y47" s="82"/>
      <c r="Z47" s="82"/>
      <c r="AA47" s="82"/>
      <c r="AB47" s="82"/>
      <c r="AC47" s="82"/>
      <c r="AD47" s="82"/>
      <c r="AE47" s="82"/>
      <c r="AF47" s="82"/>
      <c r="AG47" s="82"/>
      <c r="AH47" s="82"/>
      <c r="AI47" s="82"/>
      <c r="AJ47" s="82"/>
      <c r="AK47" s="82"/>
      <c r="AL47" s="82"/>
      <c r="AM47" s="82"/>
    </row>
    <row r="48" spans="1:39" ht="12.75" outlineLevel="1">
      <c r="A48" s="118" t="s">
        <v>70</v>
      </c>
      <c r="B48" s="2" t="s">
        <v>307</v>
      </c>
      <c r="C48" s="2" t="s">
        <v>74</v>
      </c>
      <c r="D48" s="12"/>
      <c r="E48" s="12"/>
      <c r="F48" s="12"/>
      <c r="G48" s="12"/>
      <c r="H48" s="12"/>
      <c r="I48" s="12"/>
      <c r="J48" s="12"/>
      <c r="K48" s="12"/>
      <c r="L48" s="76">
        <v>33220000</v>
      </c>
      <c r="M48" s="12">
        <v>715682.6000000001</v>
      </c>
      <c r="N48" s="76">
        <v>51718465.97</v>
      </c>
      <c r="O48" s="119">
        <v>98.9</v>
      </c>
      <c r="P48" s="119">
        <v>98.9170274182539</v>
      </c>
      <c r="Q48" s="120">
        <f>IF(ISERROR(L48*$C$20/$C$16),0,L48*$C$20/$C$16)</f>
        <v>4</v>
      </c>
      <c r="R48" s="121">
        <f>IF(ISERROR(M48*$C$20/$C$16),0,M48*$C$20/$C$16)</f>
        <v>4</v>
      </c>
      <c r="S48" s="122">
        <f>IF(ISERROR(N48*$C$20/$C$16),0,N48*$C$20/$C$16)</f>
        <v>4</v>
      </c>
      <c r="T48" s="123">
        <f>IF(ISERROR(L48*$C$21/N53),0,L48*$C$21/N53)</f>
        <v>4</v>
      </c>
      <c r="U48" s="123">
        <f>IF(ISERROR(M48*$C$21/N53),0,M48*$C$21/N53)</f>
        <v>4</v>
      </c>
      <c r="V48" s="124">
        <f>IF(ISERROR(O48*$C$21/N53),0,O48*$C$21/N53)</f>
        <v>4</v>
      </c>
      <c r="W48" s="82"/>
      <c r="X48" s="82"/>
      <c r="Y48" s="82"/>
      <c r="Z48" s="82"/>
      <c r="AA48" s="82"/>
      <c r="AB48" s="82"/>
      <c r="AC48" s="82"/>
      <c r="AD48" s="82"/>
      <c r="AE48" s="82"/>
      <c r="AF48" s="82"/>
      <c r="AG48" s="82"/>
      <c r="AH48" s="82"/>
      <c r="AI48" s="82"/>
      <c r="AJ48" s="82"/>
      <c r="AK48" s="82"/>
      <c r="AL48" s="82"/>
      <c r="AM48" s="82"/>
    </row>
    <row r="49" spans="1:39" ht="12.75" outlineLevel="1">
      <c r="A49" s="118" t="s">
        <v>91</v>
      </c>
      <c r="B49" s="2" t="s">
        <v>314</v>
      </c>
      <c r="C49" s="2"/>
      <c r="D49" s="12"/>
      <c r="E49" s="12"/>
      <c r="F49" s="12"/>
      <c r="G49" s="12"/>
      <c r="H49" s="12"/>
      <c r="I49" s="12"/>
      <c r="J49" s="12"/>
      <c r="K49" s="12"/>
      <c r="L49" s="76">
        <v>0</v>
      </c>
      <c r="M49" s="12">
        <v>0</v>
      </c>
      <c r="N49" s="76">
        <v>715682.6</v>
      </c>
      <c r="O49" s="119">
        <v>1.4</v>
      </c>
      <c r="P49" s="119">
        <v>1.368818545540909</v>
      </c>
      <c r="Q49" s="120">
        <f>IF(ISERROR(L49*$C$20/$C$16),0,L49*$C$20/$C$16)</f>
        <v>4</v>
      </c>
      <c r="R49" s="121">
        <f>IF(ISERROR(M49*$C$20/$C$16),0,M49*$C$20/$C$16)</f>
        <v>4</v>
      </c>
      <c r="S49" s="122">
        <f>IF(ISERROR(N49*$C$20/$C$16),0,N49*$C$20/$C$16)</f>
        <v>4</v>
      </c>
      <c r="T49" s="123">
        <f>IF(ISERROR(L49*$C$21/N54),0,L49*$C$21/N54)</f>
        <v>4</v>
      </c>
      <c r="U49" s="123">
        <f>IF(ISERROR(M49*$C$21/N54),0,M49*$C$21/N54)</f>
        <v>4</v>
      </c>
      <c r="V49" s="124">
        <f>IF(ISERROR(O49*$C$21/N54),0,O49*$C$21/N54)</f>
        <v>4</v>
      </c>
      <c r="W49" s="82"/>
      <c r="X49" s="82"/>
      <c r="Y49" s="82"/>
      <c r="Z49" s="82"/>
      <c r="AA49" s="82"/>
      <c r="AB49" s="82"/>
      <c r="AC49" s="82"/>
      <c r="AD49" s="82"/>
      <c r="AE49" s="82"/>
      <c r="AF49" s="82"/>
      <c r="AG49" s="82"/>
      <c r="AH49" s="82"/>
      <c r="AI49" s="82"/>
      <c r="AJ49" s="82"/>
      <c r="AK49" s="82"/>
      <c r="AL49" s="82"/>
      <c r="AM49" s="82"/>
    </row>
    <row r="50" spans="1:39" ht="12.75" outlineLevel="1">
      <c r="A50" s="118" t="s">
        <v>108</v>
      </c>
      <c r="B50" s="2" t="s">
        <v>321</v>
      </c>
      <c r="C50" s="2"/>
      <c r="D50" s="12"/>
      <c r="E50" s="12"/>
      <c r="F50" s="12"/>
      <c r="G50" s="12"/>
      <c r="H50" s="12"/>
      <c r="I50" s="12"/>
      <c r="J50" s="12"/>
      <c r="K50" s="12"/>
      <c r="L50" s="76">
        <v>0</v>
      </c>
      <c r="M50" s="12">
        <v>0</v>
      </c>
      <c r="N50" s="76">
        <v>-4535.47</v>
      </c>
      <c r="O50" s="119">
        <v>0</v>
      </c>
      <c r="P50" s="119">
        <v>-0.008674565301356251</v>
      </c>
      <c r="Q50" s="120">
        <f>IF(ISERROR(L50*$C$20/$C$16),0,L50*$C$20/$C$16)</f>
        <v>4</v>
      </c>
      <c r="R50" s="121">
        <f>IF(ISERROR(M50*$C$20/$C$16),0,M50*$C$20/$C$16)</f>
        <v>4</v>
      </c>
      <c r="S50" s="122">
        <f>IF(ISERROR(N50*$C$20/$C$16),0,N50*$C$20/$C$16)</f>
        <v>4</v>
      </c>
      <c r="T50" s="123">
        <f>IF(ISERROR(L50*$C$21/N55),0,L50*$C$21/N55)</f>
        <v>4</v>
      </c>
      <c r="U50" s="123">
        <f>IF(ISERROR(M50*$C$21/N55),0,M50*$C$21/N55)</f>
        <v>4</v>
      </c>
      <c r="V50" s="124">
        <f>IF(ISERROR(O50*$C$21/N55),0,O50*$C$21/N55)</f>
        <v>4</v>
      </c>
      <c r="W50" s="82"/>
      <c r="X50" s="82"/>
      <c r="Y50" s="82"/>
      <c r="Z50" s="82"/>
      <c r="AA50" s="82"/>
      <c r="AB50" s="82"/>
      <c r="AC50" s="82"/>
      <c r="AD50" s="82"/>
      <c r="AE50" s="82"/>
      <c r="AF50" s="82"/>
      <c r="AG50" s="82"/>
      <c r="AH50" s="82"/>
      <c r="AI50" s="82"/>
      <c r="AJ50" s="82"/>
      <c r="AK50" s="82"/>
      <c r="AL50" s="82"/>
      <c r="AM50" s="82"/>
    </row>
    <row r="51" spans="1:39" ht="12.75" outlineLevel="1">
      <c r="A51" s="118"/>
      <c r="B51" s="2" t="s">
        <v>295</v>
      </c>
      <c r="C51" s="12"/>
      <c r="D51" s="12"/>
      <c r="E51" s="12"/>
      <c r="F51" s="12"/>
      <c r="G51" s="12"/>
      <c r="H51" s="12"/>
      <c r="I51" s="12"/>
      <c r="J51" s="12"/>
      <c r="K51" s="12"/>
      <c r="L51" s="12"/>
      <c r="M51" s="12"/>
      <c r="N51" s="76">
        <v>570764.38</v>
      </c>
      <c r="O51" s="119">
        <v>1.1</v>
      </c>
      <c r="P51" s="119">
        <v>1.0916471470474802</v>
      </c>
      <c r="Q51" s="125"/>
      <c r="R51" s="126"/>
      <c r="S51" s="127"/>
      <c r="T51" s="123"/>
      <c r="U51" s="123"/>
      <c r="V51" s="124"/>
      <c r="W51" s="82"/>
      <c r="X51" s="82"/>
      <c r="Y51" s="82"/>
      <c r="Z51" s="82"/>
      <c r="AA51" s="82"/>
      <c r="AB51" s="82"/>
      <c r="AC51" s="82"/>
      <c r="AD51" s="82"/>
      <c r="AE51" s="82"/>
      <c r="AF51" s="82"/>
      <c r="AG51" s="82"/>
      <c r="AH51" s="82"/>
      <c r="AI51" s="82"/>
      <c r="AJ51" s="82"/>
      <c r="AK51" s="82"/>
      <c r="AL51" s="82"/>
      <c r="AM51" s="82"/>
    </row>
    <row r="52" spans="1:39" ht="12.75" outlineLevel="1">
      <c r="A52" s="113"/>
      <c r="B52" s="128"/>
      <c r="C52" s="129"/>
      <c r="D52" s="129"/>
      <c r="E52" s="129"/>
      <c r="F52" s="129"/>
      <c r="G52" s="129"/>
      <c r="H52" s="129"/>
      <c r="I52" s="129"/>
      <c r="J52" s="129"/>
      <c r="K52" s="129"/>
      <c r="L52" s="129"/>
      <c r="M52" s="129"/>
      <c r="N52" s="129"/>
      <c r="O52" s="129"/>
      <c r="P52" s="130"/>
      <c r="Q52" s="115"/>
      <c r="R52" s="111"/>
      <c r="S52" s="116"/>
      <c r="T52" s="117"/>
      <c r="U52" s="117"/>
      <c r="V52" s="116"/>
      <c r="W52" s="82"/>
      <c r="X52" s="82"/>
      <c r="Y52" s="82"/>
      <c r="Z52" s="82"/>
      <c r="AA52" s="82"/>
      <c r="AB52" s="82"/>
      <c r="AC52" s="82"/>
      <c r="AD52" s="82"/>
      <c r="AE52" s="82"/>
      <c r="AF52" s="82"/>
      <c r="AG52" s="82"/>
      <c r="AH52" s="82"/>
      <c r="AI52" s="82"/>
      <c r="AJ52" s="82"/>
      <c r="AK52" s="82"/>
      <c r="AL52" s="82"/>
      <c r="AM52" s="82"/>
    </row>
    <row r="53" spans="1:39" ht="13.5" customHeight="1" outlineLevel="1">
      <c r="A53" s="83"/>
      <c r="B53" s="84" t="s">
        <v>297</v>
      </c>
      <c r="C53" s="83"/>
      <c r="D53" s="83"/>
      <c r="E53" s="83"/>
      <c r="F53" s="83"/>
      <c r="G53" s="83"/>
      <c r="H53" s="83"/>
      <c r="I53" s="83"/>
      <c r="J53" s="83"/>
      <c r="K53" s="83"/>
      <c r="L53" s="83">
        <f>SUM(L48:L52)</f>
        <v>4</v>
      </c>
      <c r="M53" s="83">
        <f>SUM(M48:M52)</f>
        <v>4</v>
      </c>
      <c r="N53" s="83">
        <f>SUM(N48:N52)</f>
        <v>4</v>
      </c>
      <c r="O53" s="83"/>
      <c r="P53" s="83">
        <f>SUM(P48:P52)</f>
        <v>4</v>
      </c>
      <c r="Q53" s="131">
        <f>SUM(Q48:Q52)</f>
        <v>4</v>
      </c>
      <c r="R53" s="83">
        <f>SUM(R48:R52)</f>
        <v>4</v>
      </c>
      <c r="S53" s="132">
        <f>SUM(S48:S52)</f>
        <v>4</v>
      </c>
      <c r="T53" s="83">
        <f>SUM(T48:T52)</f>
        <v>4</v>
      </c>
      <c r="U53" s="83">
        <f>SUM(U48:U52)</f>
        <v>4</v>
      </c>
      <c r="V53" s="132">
        <f>SUM(V48:V52)</f>
        <v>4</v>
      </c>
      <c r="W53" s="82"/>
      <c r="X53" s="82"/>
      <c r="Y53" s="82"/>
      <c r="Z53" s="82"/>
      <c r="AA53" s="82"/>
      <c r="AB53" s="82"/>
      <c r="AC53" s="82"/>
      <c r="AD53" s="82"/>
      <c r="AE53" s="82"/>
      <c r="AF53" s="82"/>
      <c r="AG53" s="82"/>
      <c r="AH53" s="82"/>
      <c r="AI53" s="82"/>
      <c r="AJ53" s="82"/>
      <c r="AK53" s="82"/>
      <c r="AL53" s="82"/>
      <c r="AM53" s="82"/>
    </row>
    <row r="54" spans="1:39" ht="18" customHeight="1" outlineLevel="1">
      <c r="A54" s="1"/>
      <c r="B54" s="133" t="s">
        <v>0</v>
      </c>
      <c r="C54" s="82"/>
      <c r="D54" s="82"/>
      <c r="E54" s="82"/>
      <c r="F54" s="82"/>
      <c r="G54" s="91"/>
      <c r="H54" s="91"/>
      <c r="I54" s="91"/>
      <c r="J54" s="82"/>
      <c r="K54" s="91"/>
      <c r="L54" s="91"/>
      <c r="M54" s="91"/>
      <c r="N54" s="82"/>
      <c r="O54" s="82"/>
      <c r="P54" s="91"/>
      <c r="Q54" s="91"/>
      <c r="R54" s="91"/>
      <c r="S54" s="91"/>
      <c r="T54" s="91"/>
      <c r="U54" s="91"/>
      <c r="V54" s="82"/>
      <c r="W54" s="82"/>
      <c r="X54" s="82"/>
      <c r="Y54" s="82"/>
      <c r="Z54" s="82"/>
      <c r="AA54" s="82"/>
      <c r="AB54" s="82"/>
      <c r="AC54" s="82"/>
      <c r="AD54" s="82"/>
      <c r="AE54" s="82"/>
      <c r="AF54" s="82"/>
      <c r="AG54" s="82"/>
      <c r="AH54" s="82"/>
      <c r="AI54" s="82"/>
      <c r="AJ54" s="82"/>
      <c r="AK54" s="82"/>
      <c r="AL54" s="82"/>
      <c r="AM54" s="82"/>
    </row>
    <row r="55" spans="1:39" ht="18" customHeight="1" outlineLevel="1">
      <c r="A55" s="1"/>
      <c r="B55" s="133" t="s">
        <v>338</v>
      </c>
      <c r="C55" s="82"/>
      <c r="D55" s="82"/>
      <c r="E55" s="82"/>
      <c r="F55" s="82"/>
      <c r="G55" s="91"/>
      <c r="H55" s="91"/>
      <c r="I55" s="91"/>
      <c r="J55" s="82"/>
      <c r="K55" s="91"/>
      <c r="L55" s="91"/>
      <c r="M55" s="91"/>
      <c r="N55" s="82"/>
      <c r="O55" s="82"/>
      <c r="P55" s="91"/>
      <c r="Q55" s="91"/>
      <c r="R55" s="91"/>
      <c r="S55" s="91"/>
      <c r="T55" s="91"/>
      <c r="U55" s="91"/>
      <c r="V55" s="82"/>
      <c r="W55" s="82"/>
      <c r="X55" s="82"/>
      <c r="Y55" s="82"/>
      <c r="Z55" s="82"/>
      <c r="AA55" s="82"/>
      <c r="AB55" s="82"/>
      <c r="AC55" s="82"/>
      <c r="AD55" s="82"/>
      <c r="AE55" s="82"/>
      <c r="AF55" s="82"/>
      <c r="AG55" s="82"/>
      <c r="AH55" s="82"/>
      <c r="AI55" s="82"/>
      <c r="AJ55" s="82"/>
      <c r="AK55" s="82"/>
      <c r="AL55" s="82"/>
      <c r="AM55" s="82"/>
    </row>
    <row r="56" spans="1:39" ht="18" customHeight="1" outlineLevel="1">
      <c r="A56" s="1"/>
      <c r="B56" s="133" t="s">
        <v>0</v>
      </c>
      <c r="C56" s="82"/>
      <c r="D56" s="82"/>
      <c r="E56" s="82"/>
      <c r="F56" s="82"/>
      <c r="G56" s="91"/>
      <c r="H56" s="91"/>
      <c r="I56" s="91"/>
      <c r="J56" s="82"/>
      <c r="K56" s="91"/>
      <c r="L56" s="91"/>
      <c r="M56" s="91"/>
      <c r="N56" s="82"/>
      <c r="O56" s="82"/>
      <c r="P56" s="91"/>
      <c r="Q56" s="91"/>
      <c r="R56" s="91"/>
      <c r="S56" s="91"/>
      <c r="T56" s="91"/>
      <c r="U56" s="91"/>
      <c r="V56" s="82"/>
      <c r="W56" s="82"/>
      <c r="X56" s="82"/>
      <c r="Y56" s="82"/>
      <c r="Z56" s="82"/>
      <c r="AA56" s="82"/>
      <c r="AB56" s="82"/>
      <c r="AC56" s="82"/>
      <c r="AD56" s="82"/>
      <c r="AE56" s="82"/>
      <c r="AF56" s="82"/>
      <c r="AG56" s="82"/>
      <c r="AH56" s="82"/>
      <c r="AI56" s="82"/>
      <c r="AJ56" s="82"/>
      <c r="AK56" s="82"/>
      <c r="AL56" s="82"/>
      <c r="AM56" s="82"/>
    </row>
    <row r="57" spans="1:39" ht="18" customHeight="1" outlineLevel="1">
      <c r="A57" s="1"/>
      <c r="B57" s="133" t="s">
        <v>339</v>
      </c>
      <c r="C57" s="82"/>
      <c r="D57" s="82"/>
      <c r="E57" s="82"/>
      <c r="F57" s="82"/>
      <c r="G57" s="91"/>
      <c r="H57" s="91"/>
      <c r="I57" s="91"/>
      <c r="J57" s="82"/>
      <c r="K57" s="91"/>
      <c r="L57" s="91"/>
      <c r="M57" s="91"/>
      <c r="N57" s="82"/>
      <c r="O57" s="82"/>
      <c r="P57" s="91"/>
      <c r="Q57" s="91"/>
      <c r="R57" s="91"/>
      <c r="S57" s="91"/>
      <c r="T57" s="91"/>
      <c r="U57" s="91"/>
      <c r="V57" s="82"/>
      <c r="W57" s="82"/>
      <c r="X57" s="82"/>
      <c r="Y57" s="82"/>
      <c r="Z57" s="82"/>
      <c r="AA57" s="82"/>
      <c r="AB57" s="82"/>
      <c r="AC57" s="82"/>
      <c r="AD57" s="82"/>
      <c r="AE57" s="82"/>
      <c r="AF57" s="82"/>
      <c r="AG57" s="82"/>
      <c r="AH57" s="82"/>
      <c r="AI57" s="82"/>
      <c r="AJ57" s="82"/>
      <c r="AK57" s="82"/>
      <c r="AL57" s="82"/>
      <c r="AM57" s="82"/>
    </row>
    <row r="58" spans="1:39" ht="36.75" customHeight="1" outlineLevel="1">
      <c r="A58" s="134"/>
      <c r="B58" s="135" t="s">
        <v>340</v>
      </c>
      <c r="C58" s="136"/>
      <c r="D58" s="136"/>
      <c r="E58" s="136"/>
      <c r="F58" s="136"/>
      <c r="G58" s="136"/>
      <c r="H58" s="136"/>
      <c r="I58" s="136"/>
      <c r="J58" s="136"/>
      <c r="K58" s="136"/>
      <c r="L58" s="136"/>
      <c r="M58" s="136"/>
      <c r="N58" s="136"/>
      <c r="O58" s="136"/>
      <c r="P58" s="137"/>
      <c r="Q58" s="138"/>
      <c r="R58" s="138"/>
      <c r="S58" s="91"/>
      <c r="T58" s="91"/>
      <c r="U58" s="91"/>
      <c r="V58" s="82"/>
      <c r="W58" s="82"/>
      <c r="X58" s="82"/>
      <c r="Y58" s="82"/>
      <c r="Z58" s="82"/>
      <c r="AA58" s="82"/>
      <c r="AB58" s="82"/>
      <c r="AC58" s="82"/>
      <c r="AD58" s="82"/>
      <c r="AE58" s="82"/>
      <c r="AF58" s="82"/>
      <c r="AG58" s="82"/>
      <c r="AH58" s="82"/>
      <c r="AI58" s="82"/>
      <c r="AJ58" s="82"/>
      <c r="AK58" s="82"/>
      <c r="AL58" s="82"/>
      <c r="AM58" s="82"/>
    </row>
    <row r="59" spans="1:39" ht="25.5" customHeight="1" outlineLevel="1">
      <c r="A59" s="134"/>
      <c r="B59" s="139" t="s">
        <v>341</v>
      </c>
      <c r="C59" s="3"/>
      <c r="D59" s="3"/>
      <c r="E59" s="3"/>
      <c r="F59" s="3"/>
      <c r="G59" s="4"/>
      <c r="H59" s="4"/>
      <c r="I59" s="4"/>
      <c r="J59" s="3"/>
      <c r="K59" s="4"/>
      <c r="L59" s="4"/>
      <c r="M59" s="4"/>
      <c r="N59" s="3"/>
      <c r="O59" s="3"/>
      <c r="P59" s="4"/>
      <c r="Q59" s="138"/>
      <c r="R59" s="138"/>
      <c r="S59" s="91"/>
      <c r="T59" s="91"/>
      <c r="U59" s="91"/>
      <c r="V59" s="82"/>
      <c r="W59" s="82"/>
      <c r="X59" s="82"/>
      <c r="Y59" s="82"/>
      <c r="Z59" s="82"/>
      <c r="AA59" s="82"/>
      <c r="AB59" s="82"/>
      <c r="AC59" s="82"/>
      <c r="AD59" s="82"/>
      <c r="AE59" s="82"/>
      <c r="AF59" s="82"/>
      <c r="AG59" s="82"/>
      <c r="AH59" s="82"/>
      <c r="AI59" s="82"/>
      <c r="AJ59" s="82"/>
      <c r="AK59" s="82"/>
      <c r="AL59" s="82"/>
      <c r="AM59" s="82"/>
    </row>
    <row r="60" spans="1:39" ht="45" customHeight="1" outlineLevel="1">
      <c r="A60" s="134"/>
      <c r="B60" s="140" t="s">
        <v>342</v>
      </c>
      <c r="C60" s="141"/>
      <c r="D60" s="141"/>
      <c r="E60" s="141"/>
      <c r="F60" s="141"/>
      <c r="G60" s="141"/>
      <c r="H60" s="141"/>
      <c r="I60" s="141"/>
      <c r="J60" s="141"/>
      <c r="K60" s="141"/>
      <c r="L60" s="141"/>
      <c r="M60" s="141"/>
      <c r="N60" s="141"/>
      <c r="O60" s="141"/>
      <c r="P60" s="142"/>
      <c r="Q60" s="138"/>
      <c r="R60" s="138"/>
      <c r="S60" s="91"/>
      <c r="T60" s="91"/>
      <c r="U60" s="91"/>
      <c r="V60" s="82"/>
      <c r="W60" s="82"/>
      <c r="X60" s="82"/>
      <c r="Y60" s="82"/>
      <c r="Z60" s="82"/>
      <c r="AA60" s="82"/>
      <c r="AB60" s="82"/>
      <c r="AC60" s="82"/>
      <c r="AD60" s="82"/>
      <c r="AE60" s="82"/>
      <c r="AF60" s="82"/>
      <c r="AG60" s="82"/>
      <c r="AH60" s="82"/>
      <c r="AI60" s="82"/>
      <c r="AJ60" s="82"/>
      <c r="AK60" s="82"/>
      <c r="AL60" s="82"/>
      <c r="AM60" s="82"/>
    </row>
  </sheetData>
  <mergeCells count="37">
    <mergeCell ref="A23:A24"/>
    <mergeCell ref="B23:B24"/>
    <mergeCell ref="C23:C24"/>
    <mergeCell ref="D23:D24"/>
    <mergeCell ref="E23:E24"/>
    <mergeCell ref="F23:F24"/>
    <mergeCell ref="G23:G24"/>
    <mergeCell ref="H23:H24"/>
    <mergeCell ref="O23:P23"/>
    <mergeCell ref="A45:A46"/>
    <mergeCell ref="B45:B46"/>
    <mergeCell ref="C45:C46"/>
    <mergeCell ref="D45:D46"/>
    <mergeCell ref="E45:E46"/>
    <mergeCell ref="F45:F46"/>
    <mergeCell ref="G45:G46"/>
    <mergeCell ref="H45:H46"/>
    <mergeCell ref="O45:P45"/>
    <mergeCell ref="W45:W53"/>
    <mergeCell ref="X45:X53"/>
    <mergeCell ref="Y45:Y53"/>
    <mergeCell ref="Z45:Z53"/>
    <mergeCell ref="AA45:AA53"/>
    <mergeCell ref="AB45:AB53"/>
    <mergeCell ref="AC45:AC53"/>
    <mergeCell ref="AD45:AD53"/>
    <mergeCell ref="AE45:AE53"/>
    <mergeCell ref="AF45:AF53"/>
    <mergeCell ref="AG45:AG53"/>
    <mergeCell ref="AH45:AH53"/>
    <mergeCell ref="AI45:AI53"/>
    <mergeCell ref="AJ45:AJ53"/>
    <mergeCell ref="AK45:AK53"/>
    <mergeCell ref="AL45:AL53"/>
    <mergeCell ref="AM45:AM53"/>
    <mergeCell ref="B58:P58"/>
    <mergeCell ref="B60:P60"/>
  </mergeCells>
  <printOptions/>
  <pageMargins left="0.25" right="0.25" top="0.75" bottom="0.75" header="0.5" footer="0.5"/>
  <pageSetup firstPageNumber="1" useFirstPageNumber="1" fitToHeight="1" fitToWidth="1" horizontalDpi="300" verticalDpi="300" orientation="landscape" paperSize="9"/>
  <headerFooter alignWithMargins="0">
    <oddFooter>&amp;L20.03.2017 15:10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