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185" sheetId="1" r:id="rId1"/>
  </sheets>
  <definedNames>
    <definedName name="__bookmark_2">'DE000ETFL185'!$A$46:$V$54</definedName>
    <definedName name="__bookmark_1">'DE000ETFL185'!$A$1:$AM$61</definedName>
  </definedNames>
  <calcPr fullCalcOnLoad="1"/>
</workbook>
</file>

<file path=xl/sharedStrings.xml><?xml version="1.0" encoding="utf-8"?>
<sst xmlns="http://schemas.openxmlformats.org/spreadsheetml/2006/main" count="291" uniqueCount="360">
  <si>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</si>
  <si>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</si>
  <si>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</si>
  <si>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</si>
  <si>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</si>
  <si>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</si>
  <si>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</si>
  <si>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</si>
  <si>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</si>
  <si>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Deutsche Boerse EUROGOV(R) Germany 1-3 UCITS ETF</t>
  </si>
  <si>
    <t>ISIN</t>
  </si>
  <si>
    <t>DE000ETFL185</t>
  </si>
  <si>
    <t>Bloomberg</t>
  </si>
  <si>
    <t>ETFGS13 GY</t>
  </si>
  <si>
    <t>Reuters RIC</t>
  </si>
  <si>
    <t>ETFGS13.DE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</si>
  <si>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</si>
  <si>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</si>
  <si>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</si>
  <si>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</si>
  <si>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</si>
  <si>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</si>
  <si>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</si>
  <si>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</si>
  <si>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</si>
  <si>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</si>
  <si>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</si>
  <si>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</si>
  <si>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</si>
  <si>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</si>
  <si>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</si>
  <si>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</si>
  <si>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</si>
  <si>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</si>
  <si>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</si>
  <si>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</si>
  <si>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</si>
  <si>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</si>
  <si>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</si>
  <si>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</si>
  <si>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</si>
  <si>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</si>
  <si>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</si>
  <si>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</si>
  <si>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</si>
  <si>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</si>
  <si>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</si>
  <si>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</si>
  <si>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</si>
  <si>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</si>
  <si>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</si>
  <si>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</si>
  <si>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</si>
  <si>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</si>
  <si>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</si>
  <si>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</si>
  <si>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</si>
  <si>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</si>
  <si>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</si>
  <si>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</si>
  <si>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</si>
  <si>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</si>
  <si>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</si>
  <si>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</si>
  <si>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</si>
  <si>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</si>
  <si>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</si>
  <si>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</si>
  <si>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</si>
  <si>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</si>
  <si>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</si>
  <si>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BUNDESSCHATZANW 0% 16-16/03/2018</t>
  </si>
  <si>
    <t>DE0001104636</t>
  </si>
  <si>
    <t>DE1104636=TWEB</t>
  </si>
  <si>
    <t>Bundesrep.Deutschland</t>
  </si>
  <si>
    <t>Deutschland</t>
  </si>
  <si>
    <t>Rentenpapier</t>
  </si>
  <si>
    <t>=WENN(ODER(ISTFEHLER(L25*$C$20/$C$16),IDENTISCH(TEIL(B25,1,4),"WPL:")),0,L25*$C$20/$C$16)</t>
  </si>
  <si>
    <t>=WENN(ODER(ISTFEHLER(M25*$C$20/$C$16),IDENTISCH(TEIL(B25,1,4),"WPL:")),0,M25*$C$20/$C$16)</t>
  </si>
  <si>
    <t>=WENN(ODER(ISTFEHLER(N25*$C$20/$C$16),IDENTISCH(TEIL(B25,1,4),"WPL:")),0,N25*$C$20/$C$16)</t>
  </si>
  <si>
    <t>=WENN(ODER(ISTFEHLER(L25*$C$21/N41),IDENTISCH(TEIL(B25,1,4),"WPL:")),0,L25*$C$21/N41)</t>
  </si>
  <si>
    <t>=WENN(ODER(ISTFEHLER(M25*$C$21/N41),IDENTISCH(TEIL(B25,1,4),"WPL:")),0,M25*$C$21/N41)</t>
  </si>
  <si>
    <t>=WENN(ODER(ISTFEHLER(M25*$C$20),IDENTISCH(TEIL(B25,1,4),"WPL:")),0,N25*$C$21/N41)</t>
  </si>
  <si>
    <t>=WENN(ODER(ISTFEHLER(L25*$C$20/$C$16),TEIL(B25,1,4)&lt;&gt;"WPL:"),0,L25*$C$20/$C$16)</t>
  </si>
  <si>
    <t>=WENN(ODER(ISTFEHLER(0*$C$21/N41),TEIL(B25,1,4)&lt;&gt;"WPL:"),0,0*$C$21/N41)</t>
  </si>
  <si>
    <t>=WENN(ODER(ISTFEHLER(19913051.16*$C$20/$C$16),TEIL(B25,1,4)&lt;&gt;"WPL:"),0,19913051.16*$C$20/$C$16)</t>
  </si>
  <si>
    <t>=WENN(ODER(ISTFEHLER(L25*$C$21/N41),TEIL(B25,1,4)&lt;&gt;"WPL:"),0,L25*$C$21/N41)</t>
  </si>
  <si>
    <t>=WENN(ODER(ISTFEHLER(19913051.16*$C$20),TEIL(B25,1,4)&lt;&gt;"WPL:"),0,19913051.16*$C$21/N41)</t>
  </si>
  <si>
    <t xml:space="preserve">12.02.2016                    </t>
  </si>
  <si>
    <t xml:space="preserve">16.03.2018                    </t>
  </si>
  <si>
    <t>öffentliche Anleihen</t>
  </si>
  <si>
    <t>2</t>
  </si>
  <si>
    <t>BUNDESSCHATZANW 0% 16-15/06/2018</t>
  </si>
  <si>
    <t>DE0001104644</t>
  </si>
  <si>
    <t>DE1104644=TWEB</t>
  </si>
  <si>
    <t>=WENN(ODER(ISTFEHLER(L26*$C$20/$C$16),IDENTISCH(TEIL(B26,1,4),"WPL:")),0,L26*$C$20/$C$16)</t>
  </si>
  <si>
    <t>=WENN(ODER(ISTFEHLER(M26*$C$20/$C$16),IDENTISCH(TEIL(B26,1,4),"WPL:")),0,M26*$C$20/$C$16)</t>
  </si>
  <si>
    <t>=WENN(ODER(ISTFEHLER(N26*$C$20/$C$16),IDENTISCH(TEIL(B26,1,4),"WPL:")),0,N26*$C$20/$C$16)</t>
  </si>
  <si>
    <t>=WENN(ODER(ISTFEHLER(L26*$C$21/N41),IDENTISCH(TEIL(B26,1,4),"WPL:")),0,L26*$C$21/N41)</t>
  </si>
  <si>
    <t>=WENN(ODER(ISTFEHLER(M26*$C$21/N41),IDENTISCH(TEIL(B26,1,4),"WPL:")),0,M26*$C$21/N41)</t>
  </si>
  <si>
    <t>=WENN(ODER(ISTFEHLER(M26*$C$20),IDENTISCH(TEIL(B26,1,4),"WPL:")),0,N26*$C$21/N41)</t>
  </si>
  <si>
    <t>=WENN(ODER(ISTFEHLER(L26*$C$20/$C$16),TEIL(B26,1,4)&lt;&gt;"WPL:"),0,L26*$C$20/$C$16)</t>
  </si>
  <si>
    <t>=WENN(ODER(ISTFEHLER(0*$C$21/N41),TEIL(B26,1,4)&lt;&gt;"WPL:"),0,0*$C$21/N41)</t>
  </si>
  <si>
    <t>=WENN(ODER(ISTFEHLER(21483816.85*$C$20/$C$16),TEIL(B26,1,4)&lt;&gt;"WPL:"),0,21483816.85*$C$20/$C$16)</t>
  </si>
  <si>
    <t>=WENN(ODER(ISTFEHLER(L26*$C$21/N41),TEIL(B26,1,4)&lt;&gt;"WPL:"),0,L26*$C$21/N41)</t>
  </si>
  <si>
    <t>=WENN(ODER(ISTFEHLER(21483816.85*$C$20),TEIL(B26,1,4)&lt;&gt;"WPL:"),0,21483816.85*$C$21/N41)</t>
  </si>
  <si>
    <t xml:space="preserve">13.05.2016                    </t>
  </si>
  <si>
    <t xml:space="preserve">15.06.2018                    </t>
  </si>
  <si>
    <t>3</t>
  </si>
  <si>
    <t>BUNDESSCHATZANW 0% 16-14/09/2018</t>
  </si>
  <si>
    <t>DE0001104651</t>
  </si>
  <si>
    <t>DE1104651=TWEB</t>
  </si>
  <si>
    <t>=WENN(ODER(ISTFEHLER(L27*$C$20/$C$16),IDENTISCH(TEIL(B27,1,4),"WPL:")),0,L27*$C$20/$C$16)</t>
  </si>
  <si>
    <t>=WENN(ODER(ISTFEHLER(M27*$C$20/$C$16),IDENTISCH(TEIL(B27,1,4),"WPL:")),0,M27*$C$20/$C$16)</t>
  </si>
  <si>
    <t>=WENN(ODER(ISTFEHLER(N27*$C$20/$C$16),IDENTISCH(TEIL(B27,1,4),"WPL:")),0,N27*$C$20/$C$16)</t>
  </si>
  <si>
    <t>=WENN(ODER(ISTFEHLER(L27*$C$21/N41),IDENTISCH(TEIL(B27,1,4),"WPL:")),0,L27*$C$21/N41)</t>
  </si>
  <si>
    <t>=WENN(ODER(ISTFEHLER(M27*$C$21/N41),IDENTISCH(TEIL(B27,1,4),"WPL:")),0,M27*$C$21/N41)</t>
  </si>
  <si>
    <t>=WENN(ODER(ISTFEHLER(M27*$C$20),IDENTISCH(TEIL(B27,1,4),"WPL:")),0,N27*$C$21/N41)</t>
  </si>
  <si>
    <t>=WENN(ODER(ISTFEHLER(L27*$C$20/$C$16),TEIL(B27,1,4)&lt;&gt;"WPL:"),0,L27*$C$20/$C$16)</t>
  </si>
  <si>
    <t>=WENN(ODER(ISTFEHLER(0*$C$21/N41),TEIL(B27,1,4)&lt;&gt;"WPL:"),0,0*$C$21/N41)</t>
  </si>
  <si>
    <t>=WENN(ODER(ISTFEHLER(19987296.12*$C$20/$C$16),TEIL(B27,1,4)&lt;&gt;"WPL:"),0,19987296.12*$C$20/$C$16)</t>
  </si>
  <si>
    <t>=WENN(ODER(ISTFEHLER(L27*$C$21/N41),TEIL(B27,1,4)&lt;&gt;"WPL:"),0,L27*$C$21/N41)</t>
  </si>
  <si>
    <t>=WENN(ODER(ISTFEHLER(19987296.12*$C$20),TEIL(B27,1,4)&lt;&gt;"WPL:"),0,19987296.12*$C$21/N41)</t>
  </si>
  <si>
    <t xml:space="preserve">05.08.2016                    </t>
  </si>
  <si>
    <t xml:space="preserve">14.09.2018                    </t>
  </si>
  <si>
    <t>4</t>
  </si>
  <si>
    <t>BUNDESSCHATZANW 0% 16-14/12/2018</t>
  </si>
  <si>
    <t>DE0001104669</t>
  </si>
  <si>
    <t>DE1104669=TWEB</t>
  </si>
  <si>
    <t>=WENN(ODER(ISTFEHLER(L28*$C$20/$C$16),IDENTISCH(TEIL(B28,1,4),"WPL:")),0,L28*$C$20/$C$16)</t>
  </si>
  <si>
    <t>=WENN(ODER(ISTFEHLER(M28*$C$20/$C$16),IDENTISCH(TEIL(B28,1,4),"WPL:")),0,M28*$C$20/$C$16)</t>
  </si>
  <si>
    <t>=WENN(ODER(ISTFEHLER(N28*$C$20/$C$16),IDENTISCH(TEIL(B28,1,4),"WPL:")),0,N28*$C$20/$C$16)</t>
  </si>
  <si>
    <t>=WENN(ODER(ISTFEHLER(L28*$C$21/N41),IDENTISCH(TEIL(B28,1,4),"WPL:")),0,L28*$C$21/N41)</t>
  </si>
  <si>
    <t>=WENN(ODER(ISTFEHLER(M28*$C$21/N41),IDENTISCH(TEIL(B28,1,4),"WPL:")),0,M28*$C$21/N41)</t>
  </si>
  <si>
    <t>=WENN(ODER(ISTFEHLER(M28*$C$20),IDENTISCH(TEIL(B28,1,4),"WPL:")),0,N28*$C$21/N41)</t>
  </si>
  <si>
    <t>=WENN(ODER(ISTFEHLER(L28*$C$20/$C$16),TEIL(B28,1,4)&lt;&gt;"WPL:"),0,L28*$C$20/$C$16)</t>
  </si>
  <si>
    <t>=WENN(ODER(ISTFEHLER(0*$C$21/N41),TEIL(B28,1,4)&lt;&gt;"WPL:"),0,0*$C$21/N41)</t>
  </si>
  <si>
    <t>=WENN(ODER(ISTFEHLER(20023233.84*$C$20/$C$16),TEIL(B28,1,4)&lt;&gt;"WPL:"),0,20023233.84*$C$20/$C$16)</t>
  </si>
  <si>
    <t>=WENN(ODER(ISTFEHLER(L28*$C$21/N41),TEIL(B28,1,4)&lt;&gt;"WPL:"),0,L28*$C$21/N41)</t>
  </si>
  <si>
    <t>=WENN(ODER(ISTFEHLER(20023233.84*$C$20),TEIL(B28,1,4)&lt;&gt;"WPL:"),0,20023233.84*$C$21/N41)</t>
  </si>
  <si>
    <t xml:space="preserve">11.11.2016                    </t>
  </si>
  <si>
    <t xml:space="preserve">14.12.2018                    </t>
  </si>
  <si>
    <t>5</t>
  </si>
  <si>
    <t>DEUTSCHLAND 4.25% 08-04/07/2018</t>
  </si>
  <si>
    <t>DE0001135358</t>
  </si>
  <si>
    <t>DE1135358=TWEB</t>
  </si>
  <si>
    <t>=WENN(ODER(ISTFEHLER(L29*$C$20/$C$16),IDENTISCH(TEIL(B29,1,4),"WPL:")),0,L29*$C$20/$C$16)</t>
  </si>
  <si>
    <t>=WENN(ODER(ISTFEHLER(M29*$C$20/$C$16),IDENTISCH(TEIL(B29,1,4),"WPL:")),0,M29*$C$20/$C$16)</t>
  </si>
  <si>
    <t>=WENN(ODER(ISTFEHLER(N29*$C$20/$C$16),IDENTISCH(TEIL(B29,1,4),"WPL:")),0,N29*$C$20/$C$16)</t>
  </si>
  <si>
    <t>=WENN(ODER(ISTFEHLER(L29*$C$21/N41),IDENTISCH(TEIL(B29,1,4),"WPL:")),0,L29*$C$21/N41)</t>
  </si>
  <si>
    <t>=WENN(ODER(ISTFEHLER(M29*$C$21/N41),IDENTISCH(TEIL(B29,1,4),"WPL:")),0,M29*$C$21/N41)</t>
  </si>
  <si>
    <t>=WENN(ODER(ISTFEHLER(M29*$C$20),IDENTISCH(TEIL(B29,1,4),"WPL:")),0,N29*$C$21/N41)</t>
  </si>
  <si>
    <t>=WENN(ODER(ISTFEHLER(L29*$C$20/$C$16),TEIL(B29,1,4)&lt;&gt;"WPL:"),0,L29*$C$20/$C$16)</t>
  </si>
  <si>
    <t>=WENN(ODER(ISTFEHLER(965648.9*$C$21/N41),TEIL(B29,1,4)&lt;&gt;"WPL:"),0,965648.9*$C$21/N41)</t>
  </si>
  <si>
    <t>=WENN(ODER(ISTFEHLER(34963385.32*$C$20/$C$16),TEIL(B29,1,4)&lt;&gt;"WPL:"),0,34963385.32*$C$20/$C$16)</t>
  </si>
  <si>
    <t>=WENN(ODER(ISTFEHLER(L29*$C$21/N41),TEIL(B29,1,4)&lt;&gt;"WPL:"),0,L29*$C$21/N41)</t>
  </si>
  <si>
    <t>=WENN(ODER(ISTFEHLER(34963385.32*$C$20),TEIL(B29,1,4)&lt;&gt;"WPL:"),0,34963385.32*$C$21/N41)</t>
  </si>
  <si>
    <t xml:space="preserve">30.05.2008                    </t>
  </si>
  <si>
    <t xml:space="preserve">04.07.2018                    </t>
  </si>
  <si>
    <t>6</t>
  </si>
  <si>
    <t>DEUTSCHLAND REP 3.75% 08-04/01/2019</t>
  </si>
  <si>
    <t>DE0001135374</t>
  </si>
  <si>
    <t>DE1135374=TWEB</t>
  </si>
  <si>
    <t>=WENN(ODER(ISTFEHLER(L30*$C$20/$C$16),IDENTISCH(TEIL(B30,1,4),"WPL:")),0,L30*$C$20/$C$16)</t>
  </si>
  <si>
    <t>=WENN(ODER(ISTFEHLER(M30*$C$20/$C$16),IDENTISCH(TEIL(B30,1,4),"WPL:")),0,M30*$C$20/$C$16)</t>
  </si>
  <si>
    <t>=WENN(ODER(ISTFEHLER(N30*$C$20/$C$16),IDENTISCH(TEIL(B30,1,4),"WPL:")),0,N30*$C$20/$C$16)</t>
  </si>
  <si>
    <t>=WENN(ODER(ISTFEHLER(L30*$C$21/N41),IDENTISCH(TEIL(B30,1,4),"WPL:")),0,L30*$C$21/N41)</t>
  </si>
  <si>
    <t>=WENN(ODER(ISTFEHLER(M30*$C$21/N41),IDENTISCH(TEIL(B30,1,4),"WPL:")),0,M30*$C$21/N41)</t>
  </si>
  <si>
    <t>=WENN(ODER(ISTFEHLER(M30*$C$20),IDENTISCH(TEIL(B30,1,4),"WPL:")),0,N30*$C$21/N41)</t>
  </si>
  <si>
    <t>=WENN(ODER(ISTFEHLER(L30*$C$20/$C$16),TEIL(B30,1,4)&lt;&gt;"WPL:"),0,L30*$C$20/$C$16)</t>
  </si>
  <si>
    <t>=WENN(ODER(ISTFEHLER(284640.82*$C$21/N41),TEIL(B30,1,4)&lt;&gt;"WPL:"),0,284640.82*$C$21/N41)</t>
  </si>
  <si>
    <t>=WENN(ODER(ISTFEHLER(39747189.44*$C$20/$C$16),TEIL(B30,1,4)&lt;&gt;"WPL:"),0,39747189.44*$C$20/$C$16)</t>
  </si>
  <si>
    <t>=WENN(ODER(ISTFEHLER(L30*$C$21/N41),TEIL(B30,1,4)&lt;&gt;"WPL:"),0,L30*$C$21/N41)</t>
  </si>
  <si>
    <t>=WENN(ODER(ISTFEHLER(39747189.44*$C$20),TEIL(B30,1,4)&lt;&gt;"WPL:"),0,39747189.44*$C$21/N41)</t>
  </si>
  <si>
    <t xml:space="preserve">14.11.2008                    </t>
  </si>
  <si>
    <t xml:space="preserve">04.01.2019                    </t>
  </si>
  <si>
    <t>7</t>
  </si>
  <si>
    <t>DEUTSCHLAND REP 3.5% 09-04/07/2019</t>
  </si>
  <si>
    <t>DE0001135382</t>
  </si>
  <si>
    <t>DE1135382=TWEB</t>
  </si>
  <si>
    <t>=WENN(ODER(ISTFEHLER(L31*$C$20/$C$16),IDENTISCH(TEIL(B31,1,4),"WPL:")),0,L31*$C$20/$C$16)</t>
  </si>
  <si>
    <t>=WENN(ODER(ISTFEHLER(M31*$C$20/$C$16),IDENTISCH(TEIL(B31,1,4),"WPL:")),0,M31*$C$20/$C$16)</t>
  </si>
  <si>
    <t>=WENN(ODER(ISTFEHLER(N31*$C$20/$C$16),IDENTISCH(TEIL(B31,1,4),"WPL:")),0,N31*$C$20/$C$16)</t>
  </si>
  <si>
    <t>=WENN(ODER(ISTFEHLER(L31*$C$21/N41),IDENTISCH(TEIL(B31,1,4),"WPL:")),0,L31*$C$21/N41)</t>
  </si>
  <si>
    <t>=WENN(ODER(ISTFEHLER(M31*$C$21/N41),IDENTISCH(TEIL(B31,1,4),"WPL:")),0,M31*$C$21/N41)</t>
  </si>
  <si>
    <t>=WENN(ODER(ISTFEHLER(M31*$C$20),IDENTISCH(TEIL(B31,1,4),"WPL:")),0,N31*$C$21/N41)</t>
  </si>
  <si>
    <t>=WENN(ODER(ISTFEHLER(L31*$C$20/$C$16),TEIL(B31,1,4)&lt;&gt;"WPL:"),0,L31*$C$20/$C$16)</t>
  </si>
  <si>
    <t>=WENN(ODER(ISTFEHLER(908853.15*$C$21/N41),TEIL(B31,1,4)&lt;&gt;"WPL:"),0,908853.15*$C$21/N41)</t>
  </si>
  <si>
    <t>=WENN(ODER(ISTFEHLER(40954665.77*$C$20/$C$16),TEIL(B31,1,4)&lt;&gt;"WPL:"),0,40954665.77*$C$20/$C$16)</t>
  </si>
  <si>
    <t>=WENN(ODER(ISTFEHLER(L31*$C$21/N41),TEIL(B31,1,4)&lt;&gt;"WPL:"),0,L31*$C$21/N41)</t>
  </si>
  <si>
    <t>=WENN(ODER(ISTFEHLER(40954665.77*$C$20),TEIL(B31,1,4)&lt;&gt;"WPL:"),0,40954665.77*$C$21/N41)</t>
  </si>
  <si>
    <t xml:space="preserve">22.05.2009                    </t>
  </si>
  <si>
    <t xml:space="preserve">04.07.2019                    </t>
  </si>
  <si>
    <t>8</t>
  </si>
  <si>
    <t>DEUTSCHLAND REP 3.25% 09-04/01/2020</t>
  </si>
  <si>
    <t>DE0001135390</t>
  </si>
  <si>
    <t>DE1135390=TWEB</t>
  </si>
  <si>
    <t>=WENN(ODER(ISTFEHLER(L32*$C$20/$C$16),IDENTISCH(TEIL(B32,1,4),"WPL:")),0,L32*$C$20/$C$16)</t>
  </si>
  <si>
    <t>=WENN(ODER(ISTFEHLER(M32*$C$20/$C$16),IDENTISCH(TEIL(B32,1,4),"WPL:")),0,M32*$C$20/$C$16)</t>
  </si>
  <si>
    <t>=WENN(ODER(ISTFEHLER(N32*$C$20/$C$16),IDENTISCH(TEIL(B32,1,4),"WPL:")),0,N32*$C$20/$C$16)</t>
  </si>
  <si>
    <t>=WENN(ODER(ISTFEHLER(L32*$C$21/N41),IDENTISCH(TEIL(B32,1,4),"WPL:")),0,L32*$C$21/N41)</t>
  </si>
  <si>
    <t>=WENN(ODER(ISTFEHLER(M32*$C$21/N41),IDENTISCH(TEIL(B32,1,4),"WPL:")),0,M32*$C$21/N41)</t>
  </si>
  <si>
    <t>=WENN(ODER(ISTFEHLER(M32*$C$20),IDENTISCH(TEIL(B32,1,4),"WPL:")),0,N32*$C$21/N41)</t>
  </si>
  <si>
    <t>=WENN(ODER(ISTFEHLER(L32*$C$20/$C$16),TEIL(B32,1,4)&lt;&gt;"WPL:"),0,L32*$C$20/$C$16)</t>
  </si>
  <si>
    <t>=WENN(ODER(ISTFEHLER(226130.19*$C$21/N41),TEIL(B32,1,4)&lt;&gt;"WPL:"),0,226130.19*$C$21/N41)</t>
  </si>
  <si>
    <t>=WENN(ODER(ISTFEHLER(37388063.79*$C$20/$C$16),TEIL(B32,1,4)&lt;&gt;"WPL:"),0,37388063.79*$C$20/$C$16)</t>
  </si>
  <si>
    <t>=WENN(ODER(ISTFEHLER(L32*$C$21/N41),TEIL(B32,1,4)&lt;&gt;"WPL:"),0,L32*$C$21/N41)</t>
  </si>
  <si>
    <t>=WENN(ODER(ISTFEHLER(37388063.79*$C$20),TEIL(B32,1,4)&lt;&gt;"WPL:"),0,37388063.79*$C$21/N41)</t>
  </si>
  <si>
    <t xml:space="preserve">13.11.2009                    </t>
  </si>
  <si>
    <t xml:space="preserve">04.01.2020                    </t>
  </si>
  <si>
    <t>9</t>
  </si>
  <si>
    <t>BUNDESOBL-165 0.5% 13-23/02/2018</t>
  </si>
  <si>
    <t>DE0001141653</t>
  </si>
  <si>
    <t>DE1141653=TWEB</t>
  </si>
  <si>
    <t>=WENN(ODER(ISTFEHLER(L33*$C$20/$C$16),IDENTISCH(TEIL(B33,1,4),"WPL:")),0,L33*$C$20/$C$16)</t>
  </si>
  <si>
    <t>=WENN(ODER(ISTFEHLER(M33*$C$20/$C$16),IDENTISCH(TEIL(B33,1,4),"WPL:")),0,M33*$C$20/$C$16)</t>
  </si>
  <si>
    <t>=WENN(ODER(ISTFEHLER(N33*$C$20/$C$16),IDENTISCH(TEIL(B33,1,4),"WPL:")),0,N33*$C$20/$C$16)</t>
  </si>
  <si>
    <t>=WENN(ODER(ISTFEHLER(L33*$C$21/N41),IDENTISCH(TEIL(B33,1,4),"WPL:")),0,L33*$C$21/N41)</t>
  </si>
  <si>
    <t>=WENN(ODER(ISTFEHLER(M33*$C$21/N41),IDENTISCH(TEIL(B33,1,4),"WPL:")),0,M33*$C$21/N41)</t>
  </si>
  <si>
    <t>=WENN(ODER(ISTFEHLER(M33*$C$20),IDENTISCH(TEIL(B33,1,4),"WPL:")),0,N33*$C$21/N41)</t>
  </si>
  <si>
    <t>=WENN(ODER(ISTFEHLER(L33*$C$20/$C$16),TEIL(B33,1,4)&lt;&gt;"WPL:"),0,L33*$C$20/$C$16)</t>
  </si>
  <si>
    <t>=WENN(ODER(ISTFEHLER(9196.52*$C$21/N41),TEIL(B33,1,4)&lt;&gt;"WPL:"),0,9196.52*$C$21/N41)</t>
  </si>
  <si>
    <t>=WENN(ODER(ISTFEHLER(26155024.7*$C$20/$C$16),TEIL(B33,1,4)&lt;&gt;"WPL:"),0,26155024.7*$C$20/$C$16)</t>
  </si>
  <si>
    <t>=WENN(ODER(ISTFEHLER(L33*$C$21/N41),TEIL(B33,1,4)&lt;&gt;"WPL:"),0,L33*$C$21/N41)</t>
  </si>
  <si>
    <t>=WENN(ODER(ISTFEHLER(26155024.7*$C$20),TEIL(B33,1,4)&lt;&gt;"WPL:"),0,26155024.7*$C$21/N41)</t>
  </si>
  <si>
    <t xml:space="preserve">11.01.2013                    </t>
  </si>
  <si>
    <t xml:space="preserve">23.02.2018                    </t>
  </si>
  <si>
    <t>10</t>
  </si>
  <si>
    <t>BUNDESOBL-120 0.25% 13-13/04/2018</t>
  </si>
  <si>
    <t>DE0001141661</t>
  </si>
  <si>
    <t>DE1141661=TWEB</t>
  </si>
  <si>
    <t>=WENN(ODER(ISTFEHLER(L34*$C$20/$C$16),IDENTISCH(TEIL(B34,1,4),"WPL:")),0,L34*$C$20/$C$16)</t>
  </si>
  <si>
    <t>=WENN(ODER(ISTFEHLER(M34*$C$20/$C$16),IDENTISCH(TEIL(B34,1,4),"WPL:")),0,M34*$C$20/$C$16)</t>
  </si>
  <si>
    <t>=WENN(ODER(ISTFEHLER(N34*$C$20/$C$16),IDENTISCH(TEIL(B34,1,4),"WPL:")),0,N34*$C$20/$C$16)</t>
  </si>
  <si>
    <t>=WENN(ODER(ISTFEHLER(L34*$C$21/N41),IDENTISCH(TEIL(B34,1,4),"WPL:")),0,L34*$C$21/N41)</t>
  </si>
  <si>
    <t>=WENN(ODER(ISTFEHLER(M34*$C$21/N41),IDENTISCH(TEIL(B34,1,4),"WPL:")),0,M34*$C$21/N41)</t>
  </si>
  <si>
    <t>=WENN(ODER(ISTFEHLER(M34*$C$20),IDENTISCH(TEIL(B34,1,4),"WPL:")),0,N34*$C$21/N41)</t>
  </si>
  <si>
    <t>=WENN(ODER(ISTFEHLER(L34*$C$20/$C$16),TEIL(B34,1,4)&lt;&gt;"WPL:"),0,L34*$C$20/$C$16)</t>
  </si>
  <si>
    <t>=WENN(ODER(ISTFEHLER(60484.81*$C$21/N41),TEIL(B34,1,4)&lt;&gt;"WPL:"),0,60484.81*$C$21/N41)</t>
  </si>
  <si>
    <t>=WENN(ODER(ISTFEHLER(26181008.41*$C$20/$C$16),TEIL(B34,1,4)&lt;&gt;"WPL:"),0,26181008.41*$C$20/$C$16)</t>
  </si>
  <si>
    <t>=WENN(ODER(ISTFEHLER(L34*$C$21/N41),TEIL(B34,1,4)&lt;&gt;"WPL:"),0,L34*$C$21/N41)</t>
  </si>
  <si>
    <t>=WENN(ODER(ISTFEHLER(26181008.41*$C$20),TEIL(B34,1,4)&lt;&gt;"WPL:"),0,26181008.41*$C$21/N41)</t>
  </si>
  <si>
    <t xml:space="preserve">10.05.2013                    </t>
  </si>
  <si>
    <t xml:space="preserve">13.04.2018                    </t>
  </si>
  <si>
    <t>11</t>
  </si>
  <si>
    <t>BUNDESOBL-167 1% 13-12/10/2018</t>
  </si>
  <si>
    <t>DE0001141679</t>
  </si>
  <si>
    <t>DE1141679=TWEB</t>
  </si>
  <si>
    <t>=WENN(ODER(ISTFEHLER(L35*$C$20/$C$16),IDENTISCH(TEIL(B35,1,4),"WPL:")),0,L35*$C$20/$C$16)</t>
  </si>
  <si>
    <t>=WENN(ODER(ISTFEHLER(M35*$C$20/$C$16),IDENTISCH(TEIL(B35,1,4),"WPL:")),0,M35*$C$20/$C$16)</t>
  </si>
  <si>
    <t>=WENN(ODER(ISTFEHLER(N35*$C$20/$C$16),IDENTISCH(TEIL(B35,1,4),"WPL:")),0,N35*$C$20/$C$16)</t>
  </si>
  <si>
    <t>=WENN(ODER(ISTFEHLER(L35*$C$21/N41),IDENTISCH(TEIL(B35,1,4),"WPL:")),0,L35*$C$21/N41)</t>
  </si>
  <si>
    <t>=WENN(ODER(ISTFEHLER(M35*$C$21/N41),IDENTISCH(TEIL(B35,1,4),"WPL:")),0,M35*$C$21/N41)</t>
  </si>
  <si>
    <t>=WENN(ODER(ISTFEHLER(M35*$C$20),IDENTISCH(TEIL(B35,1,4),"WPL:")),0,N35*$C$21/N41)</t>
  </si>
  <si>
    <t>=WENN(ODER(ISTFEHLER(L35*$C$20/$C$16),TEIL(B35,1,4)&lt;&gt;"WPL:"),0,L35*$C$20/$C$16)</t>
  </si>
  <si>
    <t>=WENN(ODER(ISTFEHLER(113187.95*$C$21/N41),TEIL(B35,1,4)&lt;&gt;"WPL:"),0,113187.95*$C$21/N41)</t>
  </si>
  <si>
    <t>=WENN(ODER(ISTFEHLER(26668537.19*$C$20/$C$16),TEIL(B35,1,4)&lt;&gt;"WPL:"),0,26668537.19*$C$20/$C$16)</t>
  </si>
  <si>
    <t>=WENN(ODER(ISTFEHLER(L35*$C$21/N41),TEIL(B35,1,4)&lt;&gt;"WPL:"),0,L35*$C$21/N41)</t>
  </si>
  <si>
    <t>=WENN(ODER(ISTFEHLER(26668537.19*$C$20),TEIL(B35,1,4)&lt;&gt;"WPL:"),0,26668537.19*$C$21/N41)</t>
  </si>
  <si>
    <t xml:space="preserve">06.09.2013                    </t>
  </si>
  <si>
    <t xml:space="preserve">12.10.2018                    </t>
  </si>
  <si>
    <t>12</t>
  </si>
  <si>
    <t>BUNDESOBL-120 1% 14-22/02/2019</t>
  </si>
  <si>
    <t>DE0001141687</t>
  </si>
  <si>
    <t>DE1141687=TWEB</t>
  </si>
  <si>
    <t>=WENN(ODER(ISTFEHLER(L36*$C$20/$C$16),IDENTISCH(TEIL(B36,1,4),"WPL:")),0,L36*$C$20/$C$16)</t>
  </si>
  <si>
    <t>=WENN(ODER(ISTFEHLER(M36*$C$20/$C$16),IDENTISCH(TEIL(B36,1,4),"WPL:")),0,M36*$C$20/$C$16)</t>
  </si>
  <si>
    <t>=WENN(ODER(ISTFEHLER(N36*$C$20/$C$16),IDENTISCH(TEIL(B36,1,4),"WPL:")),0,N36*$C$20/$C$16)</t>
  </si>
  <si>
    <t>=WENN(ODER(ISTFEHLER(L36*$C$21/N41),IDENTISCH(TEIL(B36,1,4),"WPL:")),0,L36*$C$21/N41)</t>
  </si>
  <si>
    <t>=WENN(ODER(ISTFEHLER(M36*$C$21/N41),IDENTISCH(TEIL(B36,1,4),"WPL:")),0,M36*$C$21/N41)</t>
  </si>
  <si>
    <t>=WENN(ODER(ISTFEHLER(M36*$C$20),IDENTISCH(TEIL(B36,1,4),"WPL:")),0,N36*$C$21/N41)</t>
  </si>
  <si>
    <t>=WENN(ODER(ISTFEHLER(L36*$C$20/$C$16),TEIL(B36,1,4)&lt;&gt;"WPL:"),0,L36*$C$20/$C$16)</t>
  </si>
  <si>
    <t>=WENN(ODER(ISTFEHLER(17977.56*$C$21/N41),TEIL(B36,1,4)&lt;&gt;"WPL:"),0,17977.56*$C$21/N41)</t>
  </si>
  <si>
    <t>=WENN(ODER(ISTFEHLER(25168909.23*$C$20/$C$16),TEIL(B36,1,4)&lt;&gt;"WPL:"),0,25168909.23*$C$20/$C$16)</t>
  </si>
  <si>
    <t>=WENN(ODER(ISTFEHLER(L36*$C$21/N41),TEIL(B36,1,4)&lt;&gt;"WPL:"),0,L36*$C$21/N41)</t>
  </si>
  <si>
    <t>=WENN(ODER(ISTFEHLER(25168909.23*$C$20),TEIL(B36,1,4)&lt;&gt;"WPL:"),0,25168909.23*$C$21/N41)</t>
  </si>
  <si>
    <t xml:space="preserve">17.01.2014                    </t>
  </si>
  <si>
    <t xml:space="preserve">22.02.2019                    </t>
  </si>
  <si>
    <t>13</t>
  </si>
  <si>
    <t>BUNDESOBL-169 0.5% 14-12/04/2019</t>
  </si>
  <si>
    <t>DE0001141695</t>
  </si>
  <si>
    <t>DE1141695=TWEB</t>
  </si>
  <si>
    <t>=WENN(ODER(ISTFEHLER(L37*$C$20/$C$16),IDENTISCH(TEIL(B37,1,4),"WPL:")),0,L37*$C$20/$C$16)</t>
  </si>
  <si>
    <t>=WENN(ODER(ISTFEHLER(M37*$C$20/$C$16),IDENTISCH(TEIL(B37,1,4),"WPL:")),0,M37*$C$20/$C$16)</t>
  </si>
  <si>
    <t>=WENN(ODER(ISTFEHLER(N37*$C$20/$C$16),IDENTISCH(TEIL(B37,1,4),"WPL:")),0,N37*$C$20/$C$16)</t>
  </si>
  <si>
    <t>=WENN(ODER(ISTFEHLER(L37*$C$21/N41),IDENTISCH(TEIL(B37,1,4),"WPL:")),0,L37*$C$21/N41)</t>
  </si>
  <si>
    <t>=WENN(ODER(ISTFEHLER(M37*$C$21/N41),IDENTISCH(TEIL(B37,1,4),"WPL:")),0,M37*$C$21/N41)</t>
  </si>
  <si>
    <t>=WENN(ODER(ISTFEHLER(M37*$C$20),IDENTISCH(TEIL(B37,1,4),"WPL:")),0,N37*$C$21/N41)</t>
  </si>
  <si>
    <t>=WENN(ODER(ISTFEHLER(L37*$C$20/$C$16),TEIL(B37,1,4)&lt;&gt;"WPL:"),0,L37*$C$20/$C$16)</t>
  </si>
  <si>
    <t>=WENN(ODER(ISTFEHLER(114190.81*$C$21/N41),TEIL(B37,1,4)&lt;&gt;"WPL:"),0,114190.81*$C$21/N41)</t>
  </si>
  <si>
    <t>=WENN(ODER(ISTFEHLER(25064622.73*$C$20/$C$16),TEIL(B37,1,4)&lt;&gt;"WPL:"),0,25064622.73*$C$20/$C$16)</t>
  </si>
  <si>
    <t>=WENN(ODER(ISTFEHLER(L37*$C$21/N41),TEIL(B37,1,4)&lt;&gt;"WPL:"),0,L37*$C$21/N41)</t>
  </si>
  <si>
    <t>=WENN(ODER(ISTFEHLER(25064622.73*$C$20),TEIL(B37,1,4)&lt;&gt;"WPL:"),0,25064622.73*$C$21/N41)</t>
  </si>
  <si>
    <t xml:space="preserve">09.05.2014                    </t>
  </si>
  <si>
    <t xml:space="preserve">12.04.2019                    </t>
  </si>
  <si>
    <t>14</t>
  </si>
  <si>
    <t>BUNDESOBL-170 0.25% 14-11/10/2019</t>
  </si>
  <si>
    <t>DE0001141703</t>
  </si>
  <si>
    <t>DE1141703=TWEB</t>
  </si>
  <si>
    <t>=WENN(ODER(ISTFEHLER(L38*$C$20/$C$16),IDENTISCH(TEIL(B38,1,4),"WPL:")),0,L38*$C$20/$C$16)</t>
  </si>
  <si>
    <t>=WENN(ODER(ISTFEHLER(M38*$C$20/$C$16),IDENTISCH(TEIL(B38,1,4),"WPL:")),0,M38*$C$20/$C$16)</t>
  </si>
  <si>
    <t>=WENN(ODER(ISTFEHLER(N38*$C$20/$C$16),IDENTISCH(TEIL(B38,1,4),"WPL:")),0,N38*$C$20/$C$16)</t>
  </si>
  <si>
    <t>=WENN(ODER(ISTFEHLER(L38*$C$21/N41),IDENTISCH(TEIL(B38,1,4),"WPL:")),0,L38*$C$21/N41)</t>
  </si>
  <si>
    <t>=WENN(ODER(ISTFEHLER(M38*$C$21/N41),IDENTISCH(TEIL(B38,1,4),"WPL:")),0,M38*$C$21/N41)</t>
  </si>
  <si>
    <t>=WENN(ODER(ISTFEHLER(M38*$C$20),IDENTISCH(TEIL(B38,1,4),"WPL:")),0,N38*$C$21/N41)</t>
  </si>
  <si>
    <t>=WENN(ODER(ISTFEHLER(L38*$C$20/$C$16),TEIL(B38,1,4)&lt;&gt;"WPL:"),0,L38*$C$20/$C$16)</t>
  </si>
  <si>
    <t>=WENN(ODER(ISTFEHLER(26799.88*$C$21/N41),TEIL(B38,1,4)&lt;&gt;"WPL:"),0,26799.88*$C$21/N41)</t>
  </si>
  <si>
    <t>=WENN(ODER(ISTFEHLER(24953171.83*$C$20/$C$16),TEIL(B38,1,4)&lt;&gt;"WPL:"),0,24953171.83*$C$20/$C$16)</t>
  </si>
  <si>
    <t>=WENN(ODER(ISTFEHLER(L38*$C$21/N41),TEIL(B38,1,4)&lt;&gt;"WPL:"),0,L38*$C$21/N41)</t>
  </si>
  <si>
    <t>=WENN(ODER(ISTFEHLER(24953171.83*$C$20),TEIL(B38,1,4)&lt;&gt;"WPL:"),0,24953171.83*$C$21/N41)</t>
  </si>
  <si>
    <t xml:space="preserve">05.09.2014                    </t>
  </si>
  <si>
    <t xml:space="preserve">11.10.2019                    </t>
  </si>
  <si>
    <t>Barbestand (DekaBank, Kontokorrentkonto, -0,353% Zinsen*)</t>
  </si>
  <si>
    <t>Sonstige Forderungen und Verbindlichkeiten</t>
  </si>
  <si>
    <t>Gesamtfonds-Ebene</t>
  </si>
  <si>
    <t>=SUMME(l25:l40)</t>
  </si>
  <si>
    <t>=SUMME(m25:m40)</t>
  </si>
  <si>
    <t>=SUMME(n25:n40)</t>
  </si>
  <si>
    <t>=SUMME(o25:o40)</t>
  </si>
  <si>
    <t>=SUMME(p25:p40)</t>
  </si>
  <si>
    <t>=SUMME(q25:q40)</t>
  </si>
  <si>
    <t>=SUMME(r25:r40)</t>
  </si>
  <si>
    <t>=SUMME(s25:s40)</t>
  </si>
  <si>
    <t>Aufgeteilt nach Emittenten</t>
  </si>
  <si>
    <t>110000</t>
  </si>
  <si>
    <t>=WENN(ISTFEHLER(L49*$C$20/$C$16),0,L49*$C$20/$C$16)</t>
  </si>
  <si>
    <t>=WENN(ISTFEHLER(M49*$C$20/$C$16),0,M49*$C$20/$C$16)</t>
  </si>
  <si>
    <t>=WENN(ISTFEHLER(N49*$C$20/$C$16),0,N49*$C$20/$C$16)</t>
  </si>
  <si>
    <t>=WENN(ISTFEHLER(L49*$C$21/N54),0,L49*$C$21/N54)</t>
  </si>
  <si>
    <t>=WENN(ISTFEHLER(M49*$C$21/N54),0,M49*$C$21/N54)</t>
  </si>
  <si>
    <t>=WENN(ISTFEHLER(O49*$C$21/N54),0,O49*$C$21/N54)</t>
  </si>
  <si>
    <t>STÜCKZINSANSPR ANLEIHEN (AUTO)</t>
  </si>
  <si>
    <t>=WENN(ISTFEHLER(L50*$C$20/$C$16),0,L50*$C$20/$C$16)</t>
  </si>
  <si>
    <t>=WENN(ISTFEHLER(M50*$C$20/$C$16),0,M50*$C$20/$C$16)</t>
  </si>
  <si>
    <t>=WENN(ISTFEHLER(N50*$C$20/$C$16),0,N50*$C$20/$C$16)</t>
  </si>
  <si>
    <t>=WENN(ISTFEHLER(L50*$C$21/N55),0,L50*$C$21/N55)</t>
  </si>
  <si>
    <t>=WENN(ISTFEHLER(M50*$C$21/N55),0,M50*$C$21/N55)</t>
  </si>
  <si>
    <t>=WENN(ISTFEHLER(O50*$C$21/N55),0,O50*$C$21/N55)</t>
  </si>
  <si>
    <t>VERB VERWALTUNGSVERGÜTUNG(AUTO</t>
  </si>
  <si>
    <t>=WENN(ISTFEHLER(L51*$C$20/$C$16),0,L51*$C$20/$C$16)</t>
  </si>
  <si>
    <t>=WENN(ISTFEHLER(M51*$C$20/$C$16),0,M51*$C$20/$C$16)</t>
  </si>
  <si>
    <t>=WENN(ISTFEHLER(N51*$C$20/$C$16),0,N51*$C$20/$C$16)</t>
  </si>
  <si>
    <t>=WENN(ISTFEHLER(L51*$C$21/N56),0,L51*$C$21/N56)</t>
  </si>
  <si>
    <t>=WENN(ISTFEHLER(M51*$C$21/N56),0,M51*$C$21/N56)</t>
  </si>
  <si>
    <t>=WENN(ISTFEHLER(O51*$C$21/N56),0,O51*$C$21/N56)</t>
  </si>
  <si>
    <t>=SUMME(L49:L53)</t>
  </si>
  <si>
    <t>=SUMME(m49:m53)</t>
  </si>
  <si>
    <t>=SUMME(n49:n53)</t>
  </si>
  <si>
    <t>=SUMME(p49:p53)</t>
  </si>
  <si>
    <t>=SUMME(q49:q53)</t>
  </si>
  <si>
    <t>=SUMME(r49:r53)</t>
  </si>
  <si>
    <t>=SUMME(s49:s53)</t>
  </si>
  <si>
    <t>=SUMME(t49:t53)</t>
  </si>
  <si>
    <t>=SUMME(u49:u53)</t>
  </si>
  <si>
    <t>=SUMME(v49:v53)</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</si>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</sst>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61"/>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4631875</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8222660.56</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2727110.59</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1.7752</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110000</v>
      </c>
      <c r="F25" s="58" t="s">
        <v>74</v>
      </c>
      <c r="G25" s="61" t="s">
        <v>75</v>
      </c>
      <c r="H25" s="62">
        <v>5</v>
      </c>
      <c r="I25" s="63">
        <v>100.846</v>
      </c>
      <c r="J25" s="60" t="s">
        <v>17</v>
      </c>
      <c r="K25" s="61" t="s">
        <v>76</v>
      </c>
      <c r="L25" s="64">
        <v>19746000</v>
      </c>
      <c r="M25" s="62">
        <v>0</v>
      </c>
      <c r="N25" s="65">
        <v>19913051.16</v>
      </c>
      <c r="O25" s="65">
        <v>5.1</v>
      </c>
      <c r="P25" s="64">
        <v>5.052598614188407</v>
      </c>
      <c r="Q25" s="66">
        <f>IF(OR(ISERROR(L25*$C$20/$C$16),EXACT(MID(B25,1,4),"WPL:")),0,L25*$C$20/$C$16)</f>
        <v>4</v>
      </c>
      <c r="R25" s="67">
        <f>IF(OR(ISERROR(M25*$C$20/$C$16),EXACT(MID(B25,1,4),"WPL:")),0,M25*$C$20/$C$16)</f>
        <v>4</v>
      </c>
      <c r="S25" s="68">
        <f>IF(OR(ISERROR(N25*$C$20/$C$16),EXACT(MID(B25,1,4),"WPL:")),0,N25*$C$20/$C$16)</f>
        <v>4</v>
      </c>
      <c r="T25" s="62">
        <f>IF(OR(ISERROR(L25*$C$21/N41),EXACT(MID(B25,1,4),"WPL:")),0,L25*$C$21/N41)</f>
        <v>4</v>
      </c>
      <c r="U25" s="62">
        <f>IF(OR(ISERROR(M25*$C$21/N41),EXACT(MID(B25,1,4),"WPL:")),0,M25*$C$21/N41)</f>
        <v>4</v>
      </c>
      <c r="V25" s="69">
        <f>IF(OR(ISERROR(M25*$C$20),EXACT(MID(B25,1,4),"WPL:")),0,N25*$C$21/N41)</f>
        <v>4</v>
      </c>
      <c r="W25" s="70">
        <f>IF(OR(ISERROR(L25*$C$20/$C$16),MID(B25,1,4)&lt;&gt;"WPL:"),0,L25*$C$20/$C$16)</f>
        <v>4</v>
      </c>
      <c r="X25" s="65">
        <f>IF(OR(ISERROR(0*$C$21/N41),MID(B25,1,4)&lt;&gt;"WPL:"),0,0*$C$21/N41)</f>
        <v>4</v>
      </c>
      <c r="Y25" s="71">
        <f>IF(OR(ISERROR(19913051.16*$C$20/$C$16),MID(B25,1,4)&lt;&gt;"WPL:"),0,19913051.16*$C$20/$C$16)</f>
        <v>4</v>
      </c>
      <c r="Z25" s="72">
        <f>IF(OR(ISERROR(L25*$C$21/N41),MID(B25,1,4)&lt;&gt;"WPL:"),0,L25*$C$21/N41)</f>
        <v>4</v>
      </c>
      <c r="AA25" s="73">
        <f>IF(OR(ISERROR(0*$C$21/N41),MID(B25,1,4)&lt;&gt;"WPL:"),0,0*$C$21/N41)</f>
        <v>4</v>
      </c>
      <c r="AB25" s="71">
        <f>IF(OR(ISERROR(19913051.16*$C$20),MID(B25,1,4)&lt;&gt;"WPL:"),0,19913051.16*$C$21/N41)</f>
        <v>4</v>
      </c>
      <c r="AC25" s="69"/>
      <c r="AD25" s="74" t="s">
        <v>88</v>
      </c>
      <c r="AE25" s="74" t="s">
        <v>89</v>
      </c>
      <c r="AF25" s="74">
        <v>0.9972602739726</v>
      </c>
      <c r="AG25" s="74">
        <v>0</v>
      </c>
      <c r="AH25" s="74">
        <v>1</v>
      </c>
      <c r="AI25" s="74">
        <v>-0.8412075599</v>
      </c>
      <c r="AJ25" s="74">
        <v>0.9972603715</v>
      </c>
      <c r="AK25" s="74">
        <v>1.0057205689</v>
      </c>
      <c r="AL25" s="74">
        <v>2.0257263018</v>
      </c>
      <c r="AM25" s="75" t="s">
        <v>90</v>
      </c>
    </row>
    <row r="26" spans="1:39" ht="13.5" customHeight="1" outlineLevel="1">
      <c r="A26" s="57" t="s">
        <v>91</v>
      </c>
      <c r="B26" s="58" t="s">
        <v>92</v>
      </c>
      <c r="C26" s="59" t="s">
        <v>93</v>
      </c>
      <c r="D26" s="60" t="s">
        <v>94</v>
      </c>
      <c r="E26" s="60">
        <v>110000</v>
      </c>
      <c r="F26" s="58" t="s">
        <v>74</v>
      </c>
      <c r="G26" s="61" t="s">
        <v>75</v>
      </c>
      <c r="H26" s="62">
        <v>312</v>
      </c>
      <c r="I26" s="63">
        <v>101.029</v>
      </c>
      <c r="J26" s="60" t="s">
        <v>17</v>
      </c>
      <c r="K26" s="61" t="s">
        <v>76</v>
      </c>
      <c r="L26" s="64">
        <v>21265000</v>
      </c>
      <c r="M26" s="62">
        <v>0</v>
      </c>
      <c r="N26" s="65">
        <v>21483816.85</v>
      </c>
      <c r="O26" s="65">
        <v>5.5</v>
      </c>
      <c r="P26" s="64">
        <v>5.451153736893607</v>
      </c>
      <c r="Q26" s="66">
        <f>IF(OR(ISERROR(L26*$C$20/$C$16),EXACT(MID(B26,1,4),"WPL:")),0,L26*$C$20/$C$16)</f>
        <v>4</v>
      </c>
      <c r="R26" s="67">
        <f>IF(OR(ISERROR(M26*$C$20/$C$16),EXACT(MID(B26,1,4),"WPL:")),0,M26*$C$20/$C$16)</f>
        <v>4</v>
      </c>
      <c r="S26" s="68">
        <f>IF(OR(ISERROR(N26*$C$20/$C$16),EXACT(MID(B26,1,4),"WPL:")),0,N26*$C$20/$C$16)</f>
        <v>4</v>
      </c>
      <c r="T26" s="62">
        <f>IF(OR(ISERROR(L26*$C$21/N41),EXACT(MID(B26,1,4),"WPL:")),0,L26*$C$21/N41)</f>
        <v>4</v>
      </c>
      <c r="U26" s="62">
        <f>IF(OR(ISERROR(M26*$C$21/N41),EXACT(MID(B26,1,4),"WPL:")),0,M26*$C$21/N41)</f>
        <v>4</v>
      </c>
      <c r="V26" s="69">
        <f>IF(OR(ISERROR(M26*$C$20),EXACT(MID(B26,1,4),"WPL:")),0,N26*$C$21/N41)</f>
        <v>4</v>
      </c>
      <c r="W26" s="70">
        <f>IF(OR(ISERROR(L26*$C$20/$C$16),MID(B26,1,4)&lt;&gt;"WPL:"),0,L26*$C$20/$C$16)</f>
        <v>4</v>
      </c>
      <c r="X26" s="65">
        <f>IF(OR(ISERROR(0*$C$21/N41),MID(B26,1,4)&lt;&gt;"WPL:"),0,0*$C$21/N41)</f>
        <v>4</v>
      </c>
      <c r="Y26" s="71">
        <f>IF(OR(ISERROR(21483816.85*$C$20/$C$16),MID(B26,1,4)&lt;&gt;"WPL:"),0,21483816.85*$C$20/$C$16)</f>
        <v>4</v>
      </c>
      <c r="Z26" s="72">
        <f>IF(OR(ISERROR(L26*$C$21/N41),MID(B26,1,4)&lt;&gt;"WPL:"),0,L26*$C$21/N41)</f>
        <v>4</v>
      </c>
      <c r="AA26" s="73">
        <f>IF(OR(ISERROR(0*$C$21/N41),MID(B26,1,4)&lt;&gt;"WPL:"),0,0*$C$21/N41)</f>
        <v>4</v>
      </c>
      <c r="AB26" s="71">
        <f>IF(OR(ISERROR(21483816.85*$C$20),MID(B26,1,4)&lt;&gt;"WPL:"),0,21483816.85*$C$21/N41)</f>
        <v>4</v>
      </c>
      <c r="AC26" s="69"/>
      <c r="AD26" s="74" t="s">
        <v>106</v>
      </c>
      <c r="AE26" s="74" t="s">
        <v>107</v>
      </c>
      <c r="AF26" s="74">
        <v>1.2465753424658</v>
      </c>
      <c r="AG26" s="74">
        <v>0</v>
      </c>
      <c r="AH26" s="74">
        <v>1</v>
      </c>
      <c r="AI26" s="74">
        <v>-0.8178804586</v>
      </c>
      <c r="AJ26" s="74">
        <v>1.2465753425</v>
      </c>
      <c r="AK26" s="74">
        <v>1.2568549132</v>
      </c>
      <c r="AL26" s="74">
        <v>2.8469035246</v>
      </c>
      <c r="AM26" s="75" t="s">
        <v>90</v>
      </c>
    </row>
    <row r="27" spans="1:39" ht="13.5" customHeight="1" outlineLevel="1">
      <c r="A27" s="57" t="s">
        <v>108</v>
      </c>
      <c r="B27" s="58" t="s">
        <v>109</v>
      </c>
      <c r="C27" s="59" t="s">
        <v>110</v>
      </c>
      <c r="D27" s="60" t="s">
        <v>111</v>
      </c>
      <c r="E27" s="60">
        <v>110000</v>
      </c>
      <c r="F27" s="58" t="s">
        <v>74</v>
      </c>
      <c r="G27" s="61" t="s">
        <v>75</v>
      </c>
      <c r="H27" s="62">
        <v>228</v>
      </c>
      <c r="I27" s="63">
        <v>101.222</v>
      </c>
      <c r="J27" s="60" t="s">
        <v>17</v>
      </c>
      <c r="K27" s="61" t="s">
        <v>76</v>
      </c>
      <c r="L27" s="64">
        <v>19746000</v>
      </c>
      <c r="M27" s="62">
        <v>0</v>
      </c>
      <c r="N27" s="65">
        <v>19987296.12</v>
      </c>
      <c r="O27" s="65">
        <v>5.1</v>
      </c>
      <c r="P27" s="64">
        <v>5.0714370121311605</v>
      </c>
      <c r="Q27" s="66">
        <f>IF(OR(ISERROR(L27*$C$20/$C$16),EXACT(MID(B27,1,4),"WPL:")),0,L27*$C$20/$C$16)</f>
        <v>4</v>
      </c>
      <c r="R27" s="67">
        <f>IF(OR(ISERROR(M27*$C$20/$C$16),EXACT(MID(B27,1,4),"WPL:")),0,M27*$C$20/$C$16)</f>
        <v>4</v>
      </c>
      <c r="S27" s="68">
        <f>IF(OR(ISERROR(N27*$C$20/$C$16),EXACT(MID(B27,1,4),"WPL:")),0,N27*$C$20/$C$16)</f>
        <v>4</v>
      </c>
      <c r="T27" s="62">
        <f>IF(OR(ISERROR(L27*$C$21/N41),EXACT(MID(B27,1,4),"WPL:")),0,L27*$C$21/N41)</f>
        <v>4</v>
      </c>
      <c r="U27" s="62">
        <f>IF(OR(ISERROR(M27*$C$21/N41),EXACT(MID(B27,1,4),"WPL:")),0,M27*$C$21/N41)</f>
        <v>4</v>
      </c>
      <c r="V27" s="69">
        <f>IF(OR(ISERROR(M27*$C$20),EXACT(MID(B27,1,4),"WPL:")),0,N27*$C$21/N41)</f>
        <v>4</v>
      </c>
      <c r="W27" s="70">
        <f>IF(OR(ISERROR(L27*$C$20/$C$16),MID(B27,1,4)&lt;&gt;"WPL:"),0,L27*$C$20/$C$16)</f>
        <v>4</v>
      </c>
      <c r="X27" s="65">
        <f>IF(OR(ISERROR(0*$C$21/N41),MID(B27,1,4)&lt;&gt;"WPL:"),0,0*$C$21/N41)</f>
        <v>4</v>
      </c>
      <c r="Y27" s="71">
        <f>IF(OR(ISERROR(19987296.12*$C$20/$C$16),MID(B27,1,4)&lt;&gt;"WPL:"),0,19987296.12*$C$20/$C$16)</f>
        <v>4</v>
      </c>
      <c r="Z27" s="72">
        <f>IF(OR(ISERROR(L27*$C$21/N41),MID(B27,1,4)&lt;&gt;"WPL:"),0,L27*$C$21/N41)</f>
        <v>4</v>
      </c>
      <c r="AA27" s="73">
        <f>IF(OR(ISERROR(0*$C$21/N41),MID(B27,1,4)&lt;&gt;"WPL:"),0,0*$C$21/N41)</f>
        <v>4</v>
      </c>
      <c r="AB27" s="71">
        <f>IF(OR(ISERROR(19987296.12*$C$20),MID(B27,1,4)&lt;&gt;"WPL:"),0,19987296.12*$C$21/N41)</f>
        <v>4</v>
      </c>
      <c r="AC27" s="69"/>
      <c r="AD27" s="74" t="s">
        <v>123</v>
      </c>
      <c r="AE27" s="74" t="s">
        <v>124</v>
      </c>
      <c r="AF27" s="74">
        <v>1.4958904109589</v>
      </c>
      <c r="AG27" s="74">
        <v>0</v>
      </c>
      <c r="AH27" s="74">
        <v>1</v>
      </c>
      <c r="AI27" s="74">
        <v>-0.808666326</v>
      </c>
      <c r="AJ27" s="74">
        <v>1.495890411</v>
      </c>
      <c r="AK27" s="74">
        <v>1.5080857929</v>
      </c>
      <c r="AL27" s="74">
        <v>3.7947033577</v>
      </c>
      <c r="AM27" s="75" t="s">
        <v>90</v>
      </c>
    </row>
    <row r="28" spans="1:39" ht="13.5" customHeight="1" outlineLevel="1">
      <c r="A28" s="57" t="s">
        <v>125</v>
      </c>
      <c r="B28" s="58" t="s">
        <v>126</v>
      </c>
      <c r="C28" s="59" t="s">
        <v>127</v>
      </c>
      <c r="D28" s="60" t="s">
        <v>128</v>
      </c>
      <c r="E28" s="60">
        <v>110000</v>
      </c>
      <c r="F28" s="58" t="s">
        <v>74</v>
      </c>
      <c r="G28" s="61" t="s">
        <v>75</v>
      </c>
      <c r="H28" s="62">
        <v>130</v>
      </c>
      <c r="I28" s="63">
        <v>101.404</v>
      </c>
      <c r="J28" s="60" t="s">
        <v>17</v>
      </c>
      <c r="K28" s="61" t="s">
        <v>76</v>
      </c>
      <c r="L28" s="64">
        <v>19746000</v>
      </c>
      <c r="M28" s="62">
        <v>0</v>
      </c>
      <c r="N28" s="65">
        <v>20023233.84</v>
      </c>
      <c r="O28" s="65">
        <v>5.1</v>
      </c>
      <c r="P28" s="64">
        <v>5.080555598369408</v>
      </c>
      <c r="Q28" s="66">
        <f>IF(OR(ISERROR(L28*$C$20/$C$16),EXACT(MID(B28,1,4),"WPL:")),0,L28*$C$20/$C$16)</f>
        <v>4</v>
      </c>
      <c r="R28" s="67">
        <f>IF(OR(ISERROR(M28*$C$20/$C$16),EXACT(MID(B28,1,4),"WPL:")),0,M28*$C$20/$C$16)</f>
        <v>4</v>
      </c>
      <c r="S28" s="68">
        <f>IF(OR(ISERROR(N28*$C$20/$C$16),EXACT(MID(B28,1,4),"WPL:")),0,N28*$C$20/$C$16)</f>
        <v>4</v>
      </c>
      <c r="T28" s="62">
        <f>IF(OR(ISERROR(L28*$C$21/N41),EXACT(MID(B28,1,4),"WPL:")),0,L28*$C$21/N41)</f>
        <v>4</v>
      </c>
      <c r="U28" s="62">
        <f>IF(OR(ISERROR(M28*$C$21/N41),EXACT(MID(B28,1,4),"WPL:")),0,M28*$C$21/N41)</f>
        <v>4</v>
      </c>
      <c r="V28" s="69">
        <f>IF(OR(ISERROR(M28*$C$20),EXACT(MID(B28,1,4),"WPL:")),0,N28*$C$21/N41)</f>
        <v>4</v>
      </c>
      <c r="W28" s="70">
        <f>IF(OR(ISERROR(L28*$C$20/$C$16),MID(B28,1,4)&lt;&gt;"WPL:"),0,L28*$C$20/$C$16)</f>
        <v>4</v>
      </c>
      <c r="X28" s="65">
        <f>IF(OR(ISERROR(0*$C$21/N41),MID(B28,1,4)&lt;&gt;"WPL:"),0,0*$C$21/N41)</f>
        <v>4</v>
      </c>
      <c r="Y28" s="71">
        <f>IF(OR(ISERROR(20023233.84*$C$20/$C$16),MID(B28,1,4)&lt;&gt;"WPL:"),0,20023233.84*$C$20/$C$16)</f>
        <v>4</v>
      </c>
      <c r="Z28" s="72">
        <f>IF(OR(ISERROR(L28*$C$21/N41),MID(B28,1,4)&lt;&gt;"WPL:"),0,L28*$C$21/N41)</f>
        <v>4</v>
      </c>
      <c r="AA28" s="73">
        <f>IF(OR(ISERROR(0*$C$21/N41),MID(B28,1,4)&lt;&gt;"WPL:"),0,0*$C$21/N41)</f>
        <v>4</v>
      </c>
      <c r="AB28" s="71">
        <f>IF(OR(ISERROR(20023233.84*$C$20),MID(B28,1,4)&lt;&gt;"WPL:"),0,20023233.84*$C$21/N41)</f>
        <v>4</v>
      </c>
      <c r="AC28" s="69"/>
      <c r="AD28" s="74" t="s">
        <v>140</v>
      </c>
      <c r="AE28" s="74" t="s">
        <v>141</v>
      </c>
      <c r="AF28" s="74">
        <v>1.7452054794521</v>
      </c>
      <c r="AG28" s="74">
        <v>0</v>
      </c>
      <c r="AH28" s="74">
        <v>1</v>
      </c>
      <c r="AI28" s="74">
        <v>-0.7957119061</v>
      </c>
      <c r="AJ28" s="74">
        <v>1.7452054795</v>
      </c>
      <c r="AK28" s="74">
        <v>1.7592036725</v>
      </c>
      <c r="AL28" s="74">
        <v>4.8681117057</v>
      </c>
      <c r="AM28" s="75" t="s">
        <v>90</v>
      </c>
    </row>
    <row r="29" spans="1:39" ht="13.5" customHeight="1" outlineLevel="1">
      <c r="A29" s="57" t="s">
        <v>142</v>
      </c>
      <c r="B29" s="58" t="s">
        <v>143</v>
      </c>
      <c r="C29" s="59" t="s">
        <v>144</v>
      </c>
      <c r="D29" s="60" t="s">
        <v>145</v>
      </c>
      <c r="E29" s="60">
        <v>110000</v>
      </c>
      <c r="F29" s="58" t="s">
        <v>74</v>
      </c>
      <c r="G29" s="61" t="s">
        <v>75</v>
      </c>
      <c r="H29" s="62">
        <v>260</v>
      </c>
      <c r="I29" s="63">
        <v>106.586</v>
      </c>
      <c r="J29" s="60" t="s">
        <v>17</v>
      </c>
      <c r="K29" s="61" t="s">
        <v>76</v>
      </c>
      <c r="L29" s="64">
        <v>31897000</v>
      </c>
      <c r="M29" s="62">
        <v>965648.9</v>
      </c>
      <c r="N29" s="65">
        <v>34963385.32</v>
      </c>
      <c r="O29" s="65">
        <v>8.9</v>
      </c>
      <c r="P29" s="64">
        <v>8.871365357109209</v>
      </c>
      <c r="Q29" s="66">
        <f>IF(OR(ISERROR(L29*$C$20/$C$16),EXACT(MID(B29,1,4),"WPL:")),0,L29*$C$20/$C$16)</f>
        <v>4</v>
      </c>
      <c r="R29" s="67">
        <f>IF(OR(ISERROR(M29*$C$20/$C$16),EXACT(MID(B29,1,4),"WPL:")),0,M29*$C$20/$C$16)</f>
        <v>4</v>
      </c>
      <c r="S29" s="68">
        <f>IF(OR(ISERROR(N29*$C$20/$C$16),EXACT(MID(B29,1,4),"WPL:")),0,N29*$C$20/$C$16)</f>
        <v>4</v>
      </c>
      <c r="T29" s="62">
        <f>IF(OR(ISERROR(L29*$C$21/N41),EXACT(MID(B29,1,4),"WPL:")),0,L29*$C$21/N41)</f>
        <v>4</v>
      </c>
      <c r="U29" s="62">
        <f>IF(OR(ISERROR(M29*$C$21/N41),EXACT(MID(B29,1,4),"WPL:")),0,M29*$C$21/N41)</f>
        <v>4</v>
      </c>
      <c r="V29" s="69">
        <f>IF(OR(ISERROR(M29*$C$20),EXACT(MID(B29,1,4),"WPL:")),0,N29*$C$21/N41)</f>
        <v>4</v>
      </c>
      <c r="W29" s="70">
        <f>IF(OR(ISERROR(L29*$C$20/$C$16),MID(B29,1,4)&lt;&gt;"WPL:"),0,L29*$C$20/$C$16)</f>
        <v>4</v>
      </c>
      <c r="X29" s="65">
        <f>IF(OR(ISERROR(965648.9*$C$21/N41),MID(B29,1,4)&lt;&gt;"WPL:"),0,965648.9*$C$21/N41)</f>
        <v>4</v>
      </c>
      <c r="Y29" s="71">
        <f>IF(OR(ISERROR(34963385.32*$C$20/$C$16),MID(B29,1,4)&lt;&gt;"WPL:"),0,34963385.32*$C$20/$C$16)</f>
        <v>4</v>
      </c>
      <c r="Z29" s="72">
        <f>IF(OR(ISERROR(L29*$C$21/N41),MID(B29,1,4)&lt;&gt;"WPL:"),0,L29*$C$21/N41)</f>
        <v>4</v>
      </c>
      <c r="AA29" s="73">
        <f>IF(OR(ISERROR(965648.9*$C$21/N41),MID(B29,1,4)&lt;&gt;"WPL:"),0,965648.9*$C$21/N41)</f>
        <v>4</v>
      </c>
      <c r="AB29" s="71">
        <f>IF(OR(ISERROR(34963385.32*$C$20),MID(B29,1,4)&lt;&gt;"WPL:"),0,34963385.32*$C$21/N41)</f>
        <v>4</v>
      </c>
      <c r="AC29" s="69"/>
      <c r="AD29" s="74" t="s">
        <v>157</v>
      </c>
      <c r="AE29" s="74" t="s">
        <v>158</v>
      </c>
      <c r="AF29" s="74">
        <v>1.2986301369863</v>
      </c>
      <c r="AG29" s="74">
        <v>4.25</v>
      </c>
      <c r="AH29" s="74">
        <v>1</v>
      </c>
      <c r="AI29" s="74">
        <v>-0.7737765876</v>
      </c>
      <c r="AJ29" s="74">
        <v>1.2597509383</v>
      </c>
      <c r="AK29" s="74">
        <v>1.2695746094</v>
      </c>
      <c r="AL29" s="74">
        <v>2.9292472474</v>
      </c>
      <c r="AM29" s="75" t="s">
        <v>90</v>
      </c>
    </row>
    <row r="30" spans="1:39" ht="13.5" customHeight="1" outlineLevel="1">
      <c r="A30" s="57" t="s">
        <v>159</v>
      </c>
      <c r="B30" s="58" t="s">
        <v>160</v>
      </c>
      <c r="C30" s="59" t="s">
        <v>161</v>
      </c>
      <c r="D30" s="60" t="s">
        <v>162</v>
      </c>
      <c r="E30" s="60">
        <v>110000</v>
      </c>
      <c r="F30" s="58" t="s">
        <v>74</v>
      </c>
      <c r="G30" s="61" t="s">
        <v>75</v>
      </c>
      <c r="H30" s="62">
        <v>76</v>
      </c>
      <c r="I30" s="63">
        <v>108.253</v>
      </c>
      <c r="J30" s="60" t="s">
        <v>17</v>
      </c>
      <c r="K30" s="61" t="s">
        <v>76</v>
      </c>
      <c r="L30" s="64">
        <v>36454000</v>
      </c>
      <c r="M30" s="62">
        <v>284640.82</v>
      </c>
      <c r="N30" s="65">
        <v>39747189.44</v>
      </c>
      <c r="O30" s="65">
        <v>10.1</v>
      </c>
      <c r="P30" s="64">
        <v>10.085174424993951</v>
      </c>
      <c r="Q30" s="66">
        <f>IF(OR(ISERROR(L30*$C$20/$C$16),EXACT(MID(B30,1,4),"WPL:")),0,L30*$C$20/$C$16)</f>
        <v>4</v>
      </c>
      <c r="R30" s="67">
        <f>IF(OR(ISERROR(M30*$C$20/$C$16),EXACT(MID(B30,1,4),"WPL:")),0,M30*$C$20/$C$16)</f>
        <v>4</v>
      </c>
      <c r="S30" s="68">
        <f>IF(OR(ISERROR(N30*$C$20/$C$16),EXACT(MID(B30,1,4),"WPL:")),0,N30*$C$20/$C$16)</f>
        <v>4</v>
      </c>
      <c r="T30" s="62">
        <f>IF(OR(ISERROR(L30*$C$21/N41),EXACT(MID(B30,1,4),"WPL:")),0,L30*$C$21/N41)</f>
        <v>4</v>
      </c>
      <c r="U30" s="62">
        <f>IF(OR(ISERROR(M30*$C$21/N41),EXACT(MID(B30,1,4),"WPL:")),0,M30*$C$21/N41)</f>
        <v>4</v>
      </c>
      <c r="V30" s="69">
        <f>IF(OR(ISERROR(M30*$C$20),EXACT(MID(B30,1,4),"WPL:")),0,N30*$C$21/N41)</f>
        <v>4</v>
      </c>
      <c r="W30" s="70">
        <f>IF(OR(ISERROR(L30*$C$20/$C$16),MID(B30,1,4)&lt;&gt;"WPL:"),0,L30*$C$20/$C$16)</f>
        <v>4</v>
      </c>
      <c r="X30" s="65">
        <f>IF(OR(ISERROR(284640.82*$C$21/N41),MID(B30,1,4)&lt;&gt;"WPL:"),0,284640.82*$C$21/N41)</f>
        <v>4</v>
      </c>
      <c r="Y30" s="71">
        <f>IF(OR(ISERROR(39747189.44*$C$20/$C$16),MID(B30,1,4)&lt;&gt;"WPL:"),0,39747189.44*$C$20/$C$16)</f>
        <v>4</v>
      </c>
      <c r="Z30" s="72">
        <f>IF(OR(ISERROR(L30*$C$21/N41),MID(B30,1,4)&lt;&gt;"WPL:"),0,L30*$C$21/N41)</f>
        <v>4</v>
      </c>
      <c r="AA30" s="73">
        <f>IF(OR(ISERROR(284640.82*$C$21/N41),MID(B30,1,4)&lt;&gt;"WPL:"),0,284640.82*$C$21/N41)</f>
        <v>4</v>
      </c>
      <c r="AB30" s="71">
        <f>IF(OR(ISERROR(39747189.44*$C$20),MID(B30,1,4)&lt;&gt;"WPL:"),0,39747189.44*$C$21/N41)</f>
        <v>4</v>
      </c>
      <c r="AC30" s="69"/>
      <c r="AD30" s="74" t="s">
        <v>174</v>
      </c>
      <c r="AE30" s="74" t="s">
        <v>175</v>
      </c>
      <c r="AF30" s="74">
        <v>1.8027397260274</v>
      </c>
      <c r="AG30" s="74">
        <v>3.75</v>
      </c>
      <c r="AH30" s="74">
        <v>1</v>
      </c>
      <c r="AI30" s="74">
        <v>-0.7769659066</v>
      </c>
      <c r="AJ30" s="74">
        <v>1.7681176559</v>
      </c>
      <c r="AK30" s="74">
        <v>1.7819629001</v>
      </c>
      <c r="AL30" s="74">
        <v>5.0052572123</v>
      </c>
      <c r="AM30" s="75" t="s">
        <v>90</v>
      </c>
    </row>
    <row r="31" spans="1:39" ht="13.5" customHeight="1" outlineLevel="1">
      <c r="A31" s="57" t="s">
        <v>176</v>
      </c>
      <c r="B31" s="58" t="s">
        <v>177</v>
      </c>
      <c r="C31" s="59" t="s">
        <v>178</v>
      </c>
      <c r="D31" s="60" t="s">
        <v>179</v>
      </c>
      <c r="E31" s="60">
        <v>110000</v>
      </c>
      <c r="F31" s="58" t="s">
        <v>74</v>
      </c>
      <c r="G31" s="61" t="s">
        <v>75</v>
      </c>
      <c r="H31" s="62">
        <v>260</v>
      </c>
      <c r="I31" s="63">
        <v>109.853</v>
      </c>
      <c r="J31" s="60" t="s">
        <v>17</v>
      </c>
      <c r="K31" s="61" t="s">
        <v>76</v>
      </c>
      <c r="L31" s="64">
        <v>36454000</v>
      </c>
      <c r="M31" s="62">
        <v>908853.15</v>
      </c>
      <c r="N31" s="65">
        <v>40954665.77</v>
      </c>
      <c r="O31" s="65">
        <v>10.4</v>
      </c>
      <c r="P31" s="64">
        <v>10.391551041143984</v>
      </c>
      <c r="Q31" s="66">
        <f>IF(OR(ISERROR(L31*$C$20/$C$16),EXACT(MID(B31,1,4),"WPL:")),0,L31*$C$20/$C$16)</f>
        <v>4</v>
      </c>
      <c r="R31" s="67">
        <f>IF(OR(ISERROR(M31*$C$20/$C$16),EXACT(MID(B31,1,4),"WPL:")),0,M31*$C$20/$C$16)</f>
        <v>4</v>
      </c>
      <c r="S31" s="68">
        <f>IF(OR(ISERROR(N31*$C$20/$C$16),EXACT(MID(B31,1,4),"WPL:")),0,N31*$C$20/$C$16)</f>
        <v>4</v>
      </c>
      <c r="T31" s="62">
        <f>IF(OR(ISERROR(L31*$C$21/N41),EXACT(MID(B31,1,4),"WPL:")),0,L31*$C$21/N41)</f>
        <v>4</v>
      </c>
      <c r="U31" s="62">
        <f>IF(OR(ISERROR(M31*$C$21/N41),EXACT(MID(B31,1,4),"WPL:")),0,M31*$C$21/N41)</f>
        <v>4</v>
      </c>
      <c r="V31" s="69">
        <f>IF(OR(ISERROR(M31*$C$20),EXACT(MID(B31,1,4),"WPL:")),0,N31*$C$21/N41)</f>
        <v>4</v>
      </c>
      <c r="W31" s="70">
        <f>IF(OR(ISERROR(L31*$C$20/$C$16),MID(B31,1,4)&lt;&gt;"WPL:"),0,L31*$C$20/$C$16)</f>
        <v>4</v>
      </c>
      <c r="X31" s="65">
        <f>IF(OR(ISERROR(908853.15*$C$21/N41),MID(B31,1,4)&lt;&gt;"WPL:"),0,908853.15*$C$21/N41)</f>
        <v>4</v>
      </c>
      <c r="Y31" s="71">
        <f>IF(OR(ISERROR(40954665.77*$C$20/$C$16),MID(B31,1,4)&lt;&gt;"WPL:"),0,40954665.77*$C$20/$C$16)</f>
        <v>4</v>
      </c>
      <c r="Z31" s="72">
        <f>IF(OR(ISERROR(L31*$C$21/N41),MID(B31,1,4)&lt;&gt;"WPL:"),0,L31*$C$21/N41)</f>
        <v>4</v>
      </c>
      <c r="AA31" s="73">
        <f>IF(OR(ISERROR(908853.15*$C$21/N41),MID(B31,1,4)&lt;&gt;"WPL:"),0,908853.15*$C$21/N41)</f>
        <v>4</v>
      </c>
      <c r="AB31" s="71">
        <f>IF(OR(ISERROR(40954665.77*$C$20),MID(B31,1,4)&lt;&gt;"WPL:"),0,40954665.77*$C$21/N41)</f>
        <v>4</v>
      </c>
      <c r="AC31" s="69"/>
      <c r="AD31" s="74" t="s">
        <v>191</v>
      </c>
      <c r="AE31" s="74" t="s">
        <v>192</v>
      </c>
      <c r="AF31" s="74">
        <v>2.2986301369863</v>
      </c>
      <c r="AG31" s="74">
        <v>3.5</v>
      </c>
      <c r="AH31" s="74">
        <v>1</v>
      </c>
      <c r="AI31" s="74">
        <v>-0.7335307617</v>
      </c>
      <c r="AJ31" s="74">
        <v>2.2047004935</v>
      </c>
      <c r="AK31" s="74">
        <v>2.2209921542</v>
      </c>
      <c r="AL31" s="74">
        <v>7.3199721545</v>
      </c>
      <c r="AM31" s="75" t="s">
        <v>90</v>
      </c>
    </row>
    <row r="32" spans="1:39" ht="13.5" customHeight="1" outlineLevel="1">
      <c r="A32" s="57" t="s">
        <v>193</v>
      </c>
      <c r="B32" s="58" t="s">
        <v>194</v>
      </c>
      <c r="C32" s="59" t="s">
        <v>195</v>
      </c>
      <c r="D32" s="60" t="s">
        <v>196</v>
      </c>
      <c r="E32" s="60">
        <v>110000</v>
      </c>
      <c r="F32" s="58" t="s">
        <v>74</v>
      </c>
      <c r="G32" s="61" t="s">
        <v>75</v>
      </c>
      <c r="H32" s="62">
        <v>76</v>
      </c>
      <c r="I32" s="63">
        <v>111.21</v>
      </c>
      <c r="J32" s="60" t="s">
        <v>17</v>
      </c>
      <c r="K32" s="61" t="s">
        <v>76</v>
      </c>
      <c r="L32" s="64">
        <v>33416000</v>
      </c>
      <c r="M32" s="62">
        <v>226130.19</v>
      </c>
      <c r="N32" s="65">
        <v>37388063.79</v>
      </c>
      <c r="O32" s="65">
        <v>9.5</v>
      </c>
      <c r="P32" s="64">
        <v>9.486586348555425</v>
      </c>
      <c r="Q32" s="66">
        <f>IF(OR(ISERROR(L32*$C$20/$C$16),EXACT(MID(B32,1,4),"WPL:")),0,L32*$C$20/$C$16)</f>
        <v>4</v>
      </c>
      <c r="R32" s="67">
        <f>IF(OR(ISERROR(M32*$C$20/$C$16),EXACT(MID(B32,1,4),"WPL:")),0,M32*$C$20/$C$16)</f>
        <v>4</v>
      </c>
      <c r="S32" s="68">
        <f>IF(OR(ISERROR(N32*$C$20/$C$16),EXACT(MID(B32,1,4),"WPL:")),0,N32*$C$20/$C$16)</f>
        <v>4</v>
      </c>
      <c r="T32" s="62">
        <f>IF(OR(ISERROR(L32*$C$21/N41),EXACT(MID(B32,1,4),"WPL:")),0,L32*$C$21/N41)</f>
        <v>4</v>
      </c>
      <c r="U32" s="62">
        <f>IF(OR(ISERROR(M32*$C$21/N41),EXACT(MID(B32,1,4),"WPL:")),0,M32*$C$21/N41)</f>
        <v>4</v>
      </c>
      <c r="V32" s="69">
        <f>IF(OR(ISERROR(M32*$C$20),EXACT(MID(B32,1,4),"WPL:")),0,N32*$C$21/N41)</f>
        <v>4</v>
      </c>
      <c r="W32" s="70">
        <f>IF(OR(ISERROR(L32*$C$20/$C$16),MID(B32,1,4)&lt;&gt;"WPL:"),0,L32*$C$20/$C$16)</f>
        <v>4</v>
      </c>
      <c r="X32" s="65">
        <f>IF(OR(ISERROR(226130.19*$C$21/N41),MID(B32,1,4)&lt;&gt;"WPL:"),0,226130.19*$C$21/N41)</f>
        <v>4</v>
      </c>
      <c r="Y32" s="71">
        <f>IF(OR(ISERROR(37388063.79*$C$20/$C$16),MID(B32,1,4)&lt;&gt;"WPL:"),0,37388063.79*$C$20/$C$16)</f>
        <v>4</v>
      </c>
      <c r="Z32" s="72">
        <f>IF(OR(ISERROR(L32*$C$21/N41),MID(B32,1,4)&lt;&gt;"WPL:"),0,L32*$C$21/N41)</f>
        <v>4</v>
      </c>
      <c r="AA32" s="73">
        <f>IF(OR(ISERROR(226130.19*$C$21/N41),MID(B32,1,4)&lt;&gt;"WPL:"),0,226130.19*$C$21/N41)</f>
        <v>4</v>
      </c>
      <c r="AB32" s="71">
        <f>IF(OR(ISERROR(37388063.79*$C$20),MID(B32,1,4)&lt;&gt;"WPL:"),0,37388063.79*$C$21/N41)</f>
        <v>4</v>
      </c>
      <c r="AC32" s="69"/>
      <c r="AD32" s="74" t="s">
        <v>208</v>
      </c>
      <c r="AE32" s="74" t="s">
        <v>209</v>
      </c>
      <c r="AF32" s="74">
        <v>2.8027397260274</v>
      </c>
      <c r="AG32" s="74">
        <v>3.25</v>
      </c>
      <c r="AH32" s="74">
        <v>1</v>
      </c>
      <c r="AI32" s="74">
        <v>-0.6961914577</v>
      </c>
      <c r="AJ32" s="74">
        <v>2.7148751773</v>
      </c>
      <c r="AK32" s="74">
        <v>2.7339084142</v>
      </c>
      <c r="AL32" s="74">
        <v>10.3678644337</v>
      </c>
      <c r="AM32" s="75" t="s">
        <v>90</v>
      </c>
    </row>
    <row r="33" spans="1:39" ht="13.5" customHeight="1" outlineLevel="1">
      <c r="A33" s="57" t="s">
        <v>210</v>
      </c>
      <c r="B33" s="58" t="s">
        <v>211</v>
      </c>
      <c r="C33" s="59" t="s">
        <v>212</v>
      </c>
      <c r="D33" s="60" t="s">
        <v>213</v>
      </c>
      <c r="E33" s="60">
        <v>110000</v>
      </c>
      <c r="F33" s="58" t="s">
        <v>74</v>
      </c>
      <c r="G33" s="61" t="s">
        <v>75</v>
      </c>
      <c r="H33" s="62">
        <v>26</v>
      </c>
      <c r="I33" s="63">
        <v>101.258</v>
      </c>
      <c r="J33" s="60" t="s">
        <v>17</v>
      </c>
      <c r="K33" s="61" t="s">
        <v>76</v>
      </c>
      <c r="L33" s="64">
        <v>25821000</v>
      </c>
      <c r="M33" s="62">
        <v>9196.52</v>
      </c>
      <c r="N33" s="65">
        <v>26155024.7</v>
      </c>
      <c r="O33" s="65">
        <v>6.6</v>
      </c>
      <c r="P33" s="64">
        <v>6.6363934131168865</v>
      </c>
      <c r="Q33" s="66">
        <f>IF(OR(ISERROR(L33*$C$20/$C$16),EXACT(MID(B33,1,4),"WPL:")),0,L33*$C$20/$C$16)</f>
        <v>4</v>
      </c>
      <c r="R33" s="67">
        <f>IF(OR(ISERROR(M33*$C$20/$C$16),EXACT(MID(B33,1,4),"WPL:")),0,M33*$C$20/$C$16)</f>
        <v>4</v>
      </c>
      <c r="S33" s="68">
        <f>IF(OR(ISERROR(N33*$C$20/$C$16),EXACT(MID(B33,1,4),"WPL:")),0,N33*$C$20/$C$16)</f>
        <v>4</v>
      </c>
      <c r="T33" s="62">
        <f>IF(OR(ISERROR(L33*$C$21/N41),EXACT(MID(B33,1,4),"WPL:")),0,L33*$C$21/N41)</f>
        <v>4</v>
      </c>
      <c r="U33" s="62">
        <f>IF(OR(ISERROR(M33*$C$21/N41),EXACT(MID(B33,1,4),"WPL:")),0,M33*$C$21/N41)</f>
        <v>4</v>
      </c>
      <c r="V33" s="69">
        <f>IF(OR(ISERROR(M33*$C$20),EXACT(MID(B33,1,4),"WPL:")),0,N33*$C$21/N41)</f>
        <v>4</v>
      </c>
      <c r="W33" s="70">
        <f>IF(OR(ISERROR(L33*$C$20/$C$16),MID(B33,1,4)&lt;&gt;"WPL:"),0,L33*$C$20/$C$16)</f>
        <v>4</v>
      </c>
      <c r="X33" s="65">
        <f>IF(OR(ISERROR(9196.52*$C$21/N41),MID(B33,1,4)&lt;&gt;"WPL:"),0,9196.52*$C$21/N41)</f>
        <v>4</v>
      </c>
      <c r="Y33" s="71">
        <f>IF(OR(ISERROR(26155024.7*$C$20/$C$16),MID(B33,1,4)&lt;&gt;"WPL:"),0,26155024.7*$C$20/$C$16)</f>
        <v>4</v>
      </c>
      <c r="Z33" s="72">
        <f>IF(OR(ISERROR(L33*$C$21/N41),MID(B33,1,4)&lt;&gt;"WPL:"),0,L33*$C$21/N41)</f>
        <v>4</v>
      </c>
      <c r="AA33" s="73">
        <f>IF(OR(ISERROR(9196.52*$C$21/N41),MID(B33,1,4)&lt;&gt;"WPL:"),0,9196.52*$C$21/N41)</f>
        <v>4</v>
      </c>
      <c r="AB33" s="71">
        <f>IF(OR(ISERROR(26155024.7*$C$20),MID(B33,1,4)&lt;&gt;"WPL:"),0,26155024.7*$C$21/N41)</f>
        <v>4</v>
      </c>
      <c r="AC33" s="69"/>
      <c r="AD33" s="74" t="s">
        <v>225</v>
      </c>
      <c r="AE33" s="74" t="s">
        <v>226</v>
      </c>
      <c r="AF33" s="74">
        <v>0.9397260273973</v>
      </c>
      <c r="AG33" s="74">
        <v>0.5</v>
      </c>
      <c r="AH33" s="74">
        <v>1</v>
      </c>
      <c r="AI33" s="74">
        <v>-0.8280219892</v>
      </c>
      <c r="AJ33" s="74">
        <v>0.9397278718</v>
      </c>
      <c r="AK33" s="74">
        <v>0.9475739928</v>
      </c>
      <c r="AL33" s="74">
        <v>1.8533803335</v>
      </c>
      <c r="AM33" s="75" t="s">
        <v>90</v>
      </c>
    </row>
    <row r="34" spans="1:39" ht="13.5" customHeight="1" outlineLevel="1">
      <c r="A34" s="57" t="s">
        <v>227</v>
      </c>
      <c r="B34" s="58" t="s">
        <v>228</v>
      </c>
      <c r="C34" s="59" t="s">
        <v>229</v>
      </c>
      <c r="D34" s="60" t="s">
        <v>230</v>
      </c>
      <c r="E34" s="60">
        <v>110000</v>
      </c>
      <c r="F34" s="58" t="s">
        <v>74</v>
      </c>
      <c r="G34" s="61" t="s">
        <v>75</v>
      </c>
      <c r="H34" s="62">
        <v>342</v>
      </c>
      <c r="I34" s="63">
        <v>101.16</v>
      </c>
      <c r="J34" s="60" t="s">
        <v>17</v>
      </c>
      <c r="K34" s="61" t="s">
        <v>76</v>
      </c>
      <c r="L34" s="64">
        <v>25821000</v>
      </c>
      <c r="M34" s="62">
        <v>60484.81</v>
      </c>
      <c r="N34" s="65">
        <v>26181008.41</v>
      </c>
      <c r="O34" s="65">
        <v>6.6</v>
      </c>
      <c r="P34" s="64">
        <v>6.642986338333751</v>
      </c>
      <c r="Q34" s="66">
        <f>IF(OR(ISERROR(L34*$C$20/$C$16),EXACT(MID(B34,1,4),"WPL:")),0,L34*$C$20/$C$16)</f>
        <v>4</v>
      </c>
      <c r="R34" s="67">
        <f>IF(OR(ISERROR(M34*$C$20/$C$16),EXACT(MID(B34,1,4),"WPL:")),0,M34*$C$20/$C$16)</f>
        <v>4</v>
      </c>
      <c r="S34" s="68">
        <f>IF(OR(ISERROR(N34*$C$20/$C$16),EXACT(MID(B34,1,4),"WPL:")),0,N34*$C$20/$C$16)</f>
        <v>4</v>
      </c>
      <c r="T34" s="62">
        <f>IF(OR(ISERROR(L34*$C$21/N41),EXACT(MID(B34,1,4),"WPL:")),0,L34*$C$21/N41)</f>
        <v>4</v>
      </c>
      <c r="U34" s="62">
        <f>IF(OR(ISERROR(M34*$C$21/N41),EXACT(MID(B34,1,4),"WPL:")),0,M34*$C$21/N41)</f>
        <v>4</v>
      </c>
      <c r="V34" s="69">
        <f>IF(OR(ISERROR(M34*$C$20),EXACT(MID(B34,1,4),"WPL:")),0,N34*$C$21/N41)</f>
        <v>4</v>
      </c>
      <c r="W34" s="70">
        <f>IF(OR(ISERROR(L34*$C$20/$C$16),MID(B34,1,4)&lt;&gt;"WPL:"),0,L34*$C$20/$C$16)</f>
        <v>4</v>
      </c>
      <c r="X34" s="65">
        <f>IF(OR(ISERROR(60484.81*$C$21/N41),MID(B34,1,4)&lt;&gt;"WPL:"),0,60484.81*$C$21/N41)</f>
        <v>4</v>
      </c>
      <c r="Y34" s="71">
        <f>IF(OR(ISERROR(26181008.41*$C$20/$C$16),MID(B34,1,4)&lt;&gt;"WPL:"),0,26181008.41*$C$20/$C$16)</f>
        <v>4</v>
      </c>
      <c r="Z34" s="72">
        <f>IF(OR(ISERROR(L34*$C$21/N41),MID(B34,1,4)&lt;&gt;"WPL:"),0,L34*$C$21/N41)</f>
        <v>4</v>
      </c>
      <c r="AA34" s="73">
        <f>IF(OR(ISERROR(60484.81*$C$21/N41),MID(B34,1,4)&lt;&gt;"WPL:"),0,60484.81*$C$21/N41)</f>
        <v>4</v>
      </c>
      <c r="AB34" s="71">
        <f>IF(OR(ISERROR(26181008.41*$C$20),MID(B34,1,4)&lt;&gt;"WPL:"),0,26181008.41*$C$21/N41)</f>
        <v>4</v>
      </c>
      <c r="AC34" s="69"/>
      <c r="AD34" s="74" t="s">
        <v>242</v>
      </c>
      <c r="AE34" s="74" t="s">
        <v>243</v>
      </c>
      <c r="AF34" s="74">
        <v>1.0739726027397</v>
      </c>
      <c r="AG34" s="74">
        <v>0.25</v>
      </c>
      <c r="AH34" s="74">
        <v>1</v>
      </c>
      <c r="AI34" s="74">
        <v>-0.8208440244</v>
      </c>
      <c r="AJ34" s="74">
        <v>1.0715054092</v>
      </c>
      <c r="AK34" s="74">
        <v>1.0803735912</v>
      </c>
      <c r="AL34" s="74">
        <v>2.2590242796</v>
      </c>
      <c r="AM34" s="75" t="s">
        <v>90</v>
      </c>
    </row>
    <row r="35" spans="1:39" ht="13.5" customHeight="1" outlineLevel="1">
      <c r="A35" s="57" t="s">
        <v>244</v>
      </c>
      <c r="B35" s="58" t="s">
        <v>245</v>
      </c>
      <c r="C35" s="59" t="s">
        <v>246</v>
      </c>
      <c r="D35" s="60" t="s">
        <v>247</v>
      </c>
      <c r="E35" s="60">
        <v>110000</v>
      </c>
      <c r="F35" s="58" t="s">
        <v>74</v>
      </c>
      <c r="G35" s="61" t="s">
        <v>75</v>
      </c>
      <c r="H35" s="62">
        <v>160</v>
      </c>
      <c r="I35" s="63">
        <v>102.844</v>
      </c>
      <c r="J35" s="60" t="s">
        <v>17</v>
      </c>
      <c r="K35" s="61" t="s">
        <v>76</v>
      </c>
      <c r="L35" s="64">
        <v>25821000</v>
      </c>
      <c r="M35" s="62">
        <v>113187.95</v>
      </c>
      <c r="N35" s="65">
        <v>26668537.19</v>
      </c>
      <c r="O35" s="65">
        <v>6.8</v>
      </c>
      <c r="P35" s="64">
        <v>6.766688488165669</v>
      </c>
      <c r="Q35" s="66">
        <f>IF(OR(ISERROR(L35*$C$20/$C$16),EXACT(MID(B35,1,4),"WPL:")),0,L35*$C$20/$C$16)</f>
        <v>4</v>
      </c>
      <c r="R35" s="67">
        <f>IF(OR(ISERROR(M35*$C$20/$C$16),EXACT(MID(B35,1,4),"WPL:")),0,M35*$C$20/$C$16)</f>
        <v>4</v>
      </c>
      <c r="S35" s="68">
        <f>IF(OR(ISERROR(N35*$C$20/$C$16),EXACT(MID(B35,1,4),"WPL:")),0,N35*$C$20/$C$16)</f>
        <v>4</v>
      </c>
      <c r="T35" s="62">
        <f>IF(OR(ISERROR(L35*$C$21/N41),EXACT(MID(B35,1,4),"WPL:")),0,L35*$C$21/N41)</f>
        <v>4</v>
      </c>
      <c r="U35" s="62">
        <f>IF(OR(ISERROR(M35*$C$21/N41),EXACT(MID(B35,1,4),"WPL:")),0,M35*$C$21/N41)</f>
        <v>4</v>
      </c>
      <c r="V35" s="69">
        <f>IF(OR(ISERROR(M35*$C$20),EXACT(MID(B35,1,4),"WPL:")),0,N35*$C$21/N41)</f>
        <v>4</v>
      </c>
      <c r="W35" s="70">
        <f>IF(OR(ISERROR(L35*$C$20/$C$16),MID(B35,1,4)&lt;&gt;"WPL:"),0,L35*$C$20/$C$16)</f>
        <v>4</v>
      </c>
      <c r="X35" s="65">
        <f>IF(OR(ISERROR(113187.95*$C$21/N41),MID(B35,1,4)&lt;&gt;"WPL:"),0,113187.95*$C$21/N41)</f>
        <v>4</v>
      </c>
      <c r="Y35" s="71">
        <f>IF(OR(ISERROR(26668537.19*$C$20/$C$16),MID(B35,1,4)&lt;&gt;"WPL:"),0,26668537.19*$C$20/$C$16)</f>
        <v>4</v>
      </c>
      <c r="Z35" s="72">
        <f>IF(OR(ISERROR(L35*$C$21/N41),MID(B35,1,4)&lt;&gt;"WPL:"),0,L35*$C$21/N41)</f>
        <v>4</v>
      </c>
      <c r="AA35" s="73">
        <f>IF(OR(ISERROR(113187.95*$C$21/N41),MID(B35,1,4)&lt;&gt;"WPL:"),0,113187.95*$C$21/N41)</f>
        <v>4</v>
      </c>
      <c r="AB35" s="71">
        <f>IF(OR(ISERROR(26668537.19*$C$20),MID(B35,1,4)&lt;&gt;"WPL:"),0,26668537.19*$C$21/N41)</f>
        <v>4</v>
      </c>
      <c r="AC35" s="69"/>
      <c r="AD35" s="74" t="s">
        <v>259</v>
      </c>
      <c r="AE35" s="74" t="s">
        <v>260</v>
      </c>
      <c r="AF35" s="74">
        <v>1.572602739726</v>
      </c>
      <c r="AG35" s="74">
        <v>1</v>
      </c>
      <c r="AH35" s="74">
        <v>1</v>
      </c>
      <c r="AI35" s="74">
        <v>-0.7895044646</v>
      </c>
      <c r="AJ35" s="74">
        <v>1.5628754676</v>
      </c>
      <c r="AK35" s="74">
        <v>1.5753126312</v>
      </c>
      <c r="AL35" s="74">
        <v>4.0792452272</v>
      </c>
      <c r="AM35" s="75" t="s">
        <v>90</v>
      </c>
    </row>
    <row r="36" spans="1:39" ht="13.5" customHeight="1" outlineLevel="1">
      <c r="A36" s="57" t="s">
        <v>261</v>
      </c>
      <c r="B36" s="58" t="s">
        <v>262</v>
      </c>
      <c r="C36" s="59" t="s">
        <v>263</v>
      </c>
      <c r="D36" s="60" t="s">
        <v>264</v>
      </c>
      <c r="E36" s="60">
        <v>110000</v>
      </c>
      <c r="F36" s="58" t="s">
        <v>74</v>
      </c>
      <c r="G36" s="61" t="s">
        <v>75</v>
      </c>
      <c r="H36" s="62">
        <v>27</v>
      </c>
      <c r="I36" s="63">
        <v>103.489</v>
      </c>
      <c r="J36" s="60" t="s">
        <v>17</v>
      </c>
      <c r="K36" s="61" t="s">
        <v>76</v>
      </c>
      <c r="L36" s="64">
        <v>24303000</v>
      </c>
      <c r="M36" s="62">
        <v>17977.56</v>
      </c>
      <c r="N36" s="65">
        <v>25168909.23</v>
      </c>
      <c r="O36" s="65">
        <v>6.4</v>
      </c>
      <c r="P36" s="64">
        <v>6.386183356550561</v>
      </c>
      <c r="Q36" s="66">
        <f>IF(OR(ISERROR(L36*$C$20/$C$16),EXACT(MID(B36,1,4),"WPL:")),0,L36*$C$20/$C$16)</f>
        <v>4</v>
      </c>
      <c r="R36" s="67">
        <f>IF(OR(ISERROR(M36*$C$20/$C$16),EXACT(MID(B36,1,4),"WPL:")),0,M36*$C$20/$C$16)</f>
        <v>4</v>
      </c>
      <c r="S36" s="68">
        <f>IF(OR(ISERROR(N36*$C$20/$C$16),EXACT(MID(B36,1,4),"WPL:")),0,N36*$C$20/$C$16)</f>
        <v>4</v>
      </c>
      <c r="T36" s="62">
        <f>IF(OR(ISERROR(L36*$C$21/N41),EXACT(MID(B36,1,4),"WPL:")),0,L36*$C$21/N41)</f>
        <v>4</v>
      </c>
      <c r="U36" s="62">
        <f>IF(OR(ISERROR(M36*$C$21/N41),EXACT(MID(B36,1,4),"WPL:")),0,M36*$C$21/N41)</f>
        <v>4</v>
      </c>
      <c r="V36" s="69">
        <f>IF(OR(ISERROR(M36*$C$20),EXACT(MID(B36,1,4),"WPL:")),0,N36*$C$21/N41)</f>
        <v>4</v>
      </c>
      <c r="W36" s="70">
        <f>IF(OR(ISERROR(L36*$C$20/$C$16),MID(B36,1,4)&lt;&gt;"WPL:"),0,L36*$C$20/$C$16)</f>
        <v>4</v>
      </c>
      <c r="X36" s="65">
        <f>IF(OR(ISERROR(17977.56*$C$21/N41),MID(B36,1,4)&lt;&gt;"WPL:"),0,17977.56*$C$21/N41)</f>
        <v>4</v>
      </c>
      <c r="Y36" s="71">
        <f>IF(OR(ISERROR(25168909.23*$C$20/$C$16),MID(B36,1,4)&lt;&gt;"WPL:"),0,25168909.23*$C$20/$C$16)</f>
        <v>4</v>
      </c>
      <c r="Z36" s="72">
        <f>IF(OR(ISERROR(L36*$C$21/N41),MID(B36,1,4)&lt;&gt;"WPL:"),0,L36*$C$21/N41)</f>
        <v>4</v>
      </c>
      <c r="AA36" s="73">
        <f>IF(OR(ISERROR(17977.56*$C$21/N41),MID(B36,1,4)&lt;&gt;"WPL:"),0,17977.56*$C$21/N41)</f>
        <v>4</v>
      </c>
      <c r="AB36" s="71">
        <f>IF(OR(ISERROR(25168909.23*$C$20),MID(B36,1,4)&lt;&gt;"WPL:"),0,25168909.23*$C$21/N41)</f>
        <v>4</v>
      </c>
      <c r="AC36" s="69"/>
      <c r="AD36" s="74" t="s">
        <v>276</v>
      </c>
      <c r="AE36" s="74" t="s">
        <v>277</v>
      </c>
      <c r="AF36" s="74">
        <v>1.9369863013699</v>
      </c>
      <c r="AG36" s="74">
        <v>1</v>
      </c>
      <c r="AH36" s="74">
        <v>1</v>
      </c>
      <c r="AI36" s="74">
        <v>-0.7805132806</v>
      </c>
      <c r="AJ36" s="74">
        <v>1.9272581563</v>
      </c>
      <c r="AK36" s="74">
        <v>1.9424189945</v>
      </c>
      <c r="AL36" s="74">
        <v>5.7404763152</v>
      </c>
      <c r="AM36" s="75" t="s">
        <v>90</v>
      </c>
    </row>
    <row r="37" spans="1:39" ht="13.5" customHeight="1" outlineLevel="1">
      <c r="A37" s="57" t="s">
        <v>278</v>
      </c>
      <c r="B37" s="58" t="s">
        <v>279</v>
      </c>
      <c r="C37" s="59" t="s">
        <v>280</v>
      </c>
      <c r="D37" s="60" t="s">
        <v>281</v>
      </c>
      <c r="E37" s="60">
        <v>110000</v>
      </c>
      <c r="F37" s="58" t="s">
        <v>74</v>
      </c>
      <c r="G37" s="61" t="s">
        <v>75</v>
      </c>
      <c r="H37" s="62">
        <v>343</v>
      </c>
      <c r="I37" s="63">
        <v>102.664</v>
      </c>
      <c r="J37" s="60" t="s">
        <v>17</v>
      </c>
      <c r="K37" s="61" t="s">
        <v>76</v>
      </c>
      <c r="L37" s="64">
        <v>24303000</v>
      </c>
      <c r="M37" s="62">
        <v>114190.81</v>
      </c>
      <c r="N37" s="65">
        <v>25064622.73</v>
      </c>
      <c r="O37" s="65">
        <v>6.4</v>
      </c>
      <c r="P37" s="64">
        <v>6.359722427929185</v>
      </c>
      <c r="Q37" s="66">
        <f>IF(OR(ISERROR(L37*$C$20/$C$16),EXACT(MID(B37,1,4),"WPL:")),0,L37*$C$20/$C$16)</f>
        <v>4</v>
      </c>
      <c r="R37" s="67">
        <f>IF(OR(ISERROR(M37*$C$20/$C$16),EXACT(MID(B37,1,4),"WPL:")),0,M37*$C$20/$C$16)</f>
        <v>4</v>
      </c>
      <c r="S37" s="68">
        <f>IF(OR(ISERROR(N37*$C$20/$C$16),EXACT(MID(B37,1,4),"WPL:")),0,N37*$C$20/$C$16)</f>
        <v>4</v>
      </c>
      <c r="T37" s="62">
        <f>IF(OR(ISERROR(L37*$C$21/N41),EXACT(MID(B37,1,4),"WPL:")),0,L37*$C$21/N41)</f>
        <v>4</v>
      </c>
      <c r="U37" s="62">
        <f>IF(OR(ISERROR(M37*$C$21/N41),EXACT(MID(B37,1,4),"WPL:")),0,M37*$C$21/N41)</f>
        <v>4</v>
      </c>
      <c r="V37" s="69">
        <f>IF(OR(ISERROR(M37*$C$20),EXACT(MID(B37,1,4),"WPL:")),0,N37*$C$21/N41)</f>
        <v>4</v>
      </c>
      <c r="W37" s="70">
        <f>IF(OR(ISERROR(L37*$C$20/$C$16),MID(B37,1,4)&lt;&gt;"WPL:"),0,L37*$C$20/$C$16)</f>
        <v>4</v>
      </c>
      <c r="X37" s="65">
        <f>IF(OR(ISERROR(114190.81*$C$21/N41),MID(B37,1,4)&lt;&gt;"WPL:"),0,114190.81*$C$21/N41)</f>
        <v>4</v>
      </c>
      <c r="Y37" s="71">
        <f>IF(OR(ISERROR(25064622.73*$C$20/$C$16),MID(B37,1,4)&lt;&gt;"WPL:"),0,25064622.73*$C$20/$C$16)</f>
        <v>4</v>
      </c>
      <c r="Z37" s="72">
        <f>IF(OR(ISERROR(L37*$C$21/N41),MID(B37,1,4)&lt;&gt;"WPL:"),0,L37*$C$21/N41)</f>
        <v>4</v>
      </c>
      <c r="AA37" s="73">
        <f>IF(OR(ISERROR(114190.81*$C$21/N41),MID(B37,1,4)&lt;&gt;"WPL:"),0,114190.81*$C$21/N41)</f>
        <v>4</v>
      </c>
      <c r="AB37" s="71">
        <f>IF(OR(ISERROR(25064622.73*$C$20),MID(B37,1,4)&lt;&gt;"WPL:"),0,25064622.73*$C$21/N41)</f>
        <v>4</v>
      </c>
      <c r="AC37" s="69"/>
      <c r="AD37" s="74" t="s">
        <v>293</v>
      </c>
      <c r="AE37" s="74" t="s">
        <v>294</v>
      </c>
      <c r="AF37" s="74">
        <v>2.0712328767123</v>
      </c>
      <c r="AG37" s="74">
        <v>0.5</v>
      </c>
      <c r="AH37" s="74">
        <v>1</v>
      </c>
      <c r="AI37" s="74">
        <v>-0.7709240292</v>
      </c>
      <c r="AJ37" s="74">
        <v>2.0566421908</v>
      </c>
      <c r="AK37" s="74">
        <v>2.0726205204</v>
      </c>
      <c r="AL37" s="74">
        <v>6.4089342176</v>
      </c>
      <c r="AM37" s="75" t="s">
        <v>90</v>
      </c>
    </row>
    <row r="38" spans="1:39" ht="13.5" customHeight="1" outlineLevel="1">
      <c r="A38" s="57" t="s">
        <v>295</v>
      </c>
      <c r="B38" s="58" t="s">
        <v>296</v>
      </c>
      <c r="C38" s="59" t="s">
        <v>297</v>
      </c>
      <c r="D38" s="60" t="s">
        <v>298</v>
      </c>
      <c r="E38" s="60">
        <v>110000</v>
      </c>
      <c r="F38" s="58" t="s">
        <v>74</v>
      </c>
      <c r="G38" s="61" t="s">
        <v>75</v>
      </c>
      <c r="H38" s="62">
        <v>161</v>
      </c>
      <c r="I38" s="63">
        <v>102.565</v>
      </c>
      <c r="J38" s="60" t="s">
        <v>17</v>
      </c>
      <c r="K38" s="61" t="s">
        <v>76</v>
      </c>
      <c r="L38" s="64">
        <v>24303000</v>
      </c>
      <c r="M38" s="62">
        <v>26799.88</v>
      </c>
      <c r="N38" s="65">
        <v>24953171.83</v>
      </c>
      <c r="O38" s="65">
        <v>6.3</v>
      </c>
      <c r="P38" s="64">
        <v>6.331443654457182</v>
      </c>
      <c r="Q38" s="66">
        <f>IF(OR(ISERROR(L38*$C$20/$C$16),EXACT(MID(B38,1,4),"WPL:")),0,L38*$C$20/$C$16)</f>
        <v>4</v>
      </c>
      <c r="R38" s="67">
        <f>IF(OR(ISERROR(M38*$C$20/$C$16),EXACT(MID(B38,1,4),"WPL:")),0,M38*$C$20/$C$16)</f>
        <v>4</v>
      </c>
      <c r="S38" s="68">
        <f>IF(OR(ISERROR(N38*$C$20/$C$16),EXACT(MID(B38,1,4),"WPL:")),0,N38*$C$20/$C$16)</f>
        <v>4</v>
      </c>
      <c r="T38" s="62">
        <f>IF(OR(ISERROR(L38*$C$21/N41),EXACT(MID(B38,1,4),"WPL:")),0,L38*$C$21/N41)</f>
        <v>4</v>
      </c>
      <c r="U38" s="62">
        <f>IF(OR(ISERROR(M38*$C$21/N41),EXACT(MID(B38,1,4),"WPL:")),0,M38*$C$21/N41)</f>
        <v>4</v>
      </c>
      <c r="V38" s="69">
        <f>IF(OR(ISERROR(M38*$C$20),EXACT(MID(B38,1,4),"WPL:")),0,N38*$C$21/N41)</f>
        <v>4</v>
      </c>
      <c r="W38" s="70">
        <f>IF(OR(ISERROR(L38*$C$20/$C$16),MID(B38,1,4)&lt;&gt;"WPL:"),0,L38*$C$20/$C$16)</f>
        <v>4</v>
      </c>
      <c r="X38" s="65">
        <f>IF(OR(ISERROR(26799.88*$C$21/N41),MID(B38,1,4)&lt;&gt;"WPL:"),0,26799.88*$C$21/N41)</f>
        <v>4</v>
      </c>
      <c r="Y38" s="71">
        <f>IF(OR(ISERROR(24953171.83*$C$20/$C$16),MID(B38,1,4)&lt;&gt;"WPL:"),0,24953171.83*$C$20/$C$16)</f>
        <v>4</v>
      </c>
      <c r="Z38" s="72">
        <f>IF(OR(ISERROR(L38*$C$21/N41),MID(B38,1,4)&lt;&gt;"WPL:"),0,L38*$C$21/N41)</f>
        <v>4</v>
      </c>
      <c r="AA38" s="73">
        <f>IF(OR(ISERROR(26799.88*$C$21/N41),MID(B38,1,4)&lt;&gt;"WPL:"),0,26799.88*$C$21/N41)</f>
        <v>4</v>
      </c>
      <c r="AB38" s="71">
        <f>IF(OR(ISERROR(24953171.83*$C$20),MID(B38,1,4)&lt;&gt;"WPL:"),0,24953171.83*$C$21/N41)</f>
        <v>4</v>
      </c>
      <c r="AC38" s="69"/>
      <c r="AD38" s="74" t="s">
        <v>310</v>
      </c>
      <c r="AE38" s="74" t="s">
        <v>311</v>
      </c>
      <c r="AF38" s="74">
        <v>2.5698630136986</v>
      </c>
      <c r="AG38" s="74">
        <v>0.25</v>
      </c>
      <c r="AH38" s="74">
        <v>1</v>
      </c>
      <c r="AI38" s="74">
        <v>-0.734952558</v>
      </c>
      <c r="AJ38" s="74">
        <v>2.5625093607</v>
      </c>
      <c r="AK38" s="74">
        <v>2.5814820289</v>
      </c>
      <c r="AL38" s="74">
        <v>9.2770157536</v>
      </c>
      <c r="AM38" s="75" t="s">
        <v>90</v>
      </c>
    </row>
    <row r="39" spans="1:39" ht="13.5" customHeight="1" outlineLevel="1">
      <c r="A39" s="1"/>
      <c r="B39" s="2" t="s">
        <v>312</v>
      </c>
      <c r="C39" s="3"/>
      <c r="D39" s="3"/>
      <c r="E39" s="3"/>
      <c r="F39" s="3"/>
      <c r="G39" s="4"/>
      <c r="H39" s="4"/>
      <c r="I39" s="4"/>
      <c r="J39" s="3"/>
      <c r="K39" s="4"/>
      <c r="L39" s="4"/>
      <c r="M39" s="4"/>
      <c r="N39" s="76">
        <v>5495549.97</v>
      </c>
      <c r="O39" s="76">
        <v>1.4</v>
      </c>
      <c r="P39" s="77">
        <v>1.3944024920902753</v>
      </c>
      <c r="Q39" s="78"/>
      <c r="R39" s="79"/>
      <c r="S39" s="80"/>
      <c r="T39" s="4"/>
      <c r="U39" s="4"/>
      <c r="V39" s="81"/>
      <c r="W39" s="3"/>
      <c r="X39" s="3"/>
      <c r="Y39" s="81"/>
      <c r="Z39" s="82"/>
      <c r="AA39" s="82"/>
      <c r="AB39" s="81"/>
      <c r="AC39" s="81"/>
      <c r="AD39" s="3"/>
      <c r="AE39" s="3"/>
      <c r="AF39" s="3"/>
      <c r="AG39" s="3"/>
      <c r="AH39" s="3"/>
      <c r="AI39" s="3"/>
      <c r="AJ39" s="3"/>
      <c r="AK39" s="3"/>
      <c r="AL39" s="3"/>
      <c r="AM39" s="81"/>
    </row>
    <row r="40" spans="1:39" ht="13.5" customHeight="1" outlineLevel="1">
      <c r="A40" s="1"/>
      <c r="B40" s="2" t="s">
        <v>313</v>
      </c>
      <c r="C40" s="3"/>
      <c r="D40" s="3"/>
      <c r="E40" s="3"/>
      <c r="F40" s="3"/>
      <c r="G40" s="4"/>
      <c r="H40" s="4"/>
      <c r="I40" s="4"/>
      <c r="J40" s="3"/>
      <c r="K40" s="4"/>
      <c r="L40" s="4"/>
      <c r="M40" s="4"/>
      <c r="N40" s="76">
        <v>-32484.160000023432</v>
      </c>
      <c r="O40" s="76">
        <v>0</v>
      </c>
      <c r="P40" s="77">
        <v>-0.008242304028670659</v>
      </c>
      <c r="Q40" s="78"/>
      <c r="R40" s="79"/>
      <c r="S40" s="80"/>
      <c r="T40" s="4"/>
      <c r="U40" s="4"/>
      <c r="V40" s="81"/>
      <c r="W40" s="3"/>
      <c r="X40" s="3"/>
      <c r="Y40" s="81"/>
      <c r="Z40" s="82"/>
      <c r="AA40" s="82"/>
      <c r="AB40" s="81"/>
      <c r="AC40" s="81"/>
      <c r="AD40" s="3"/>
      <c r="AE40" s="3"/>
      <c r="AF40" s="3"/>
      <c r="AG40" s="3"/>
      <c r="AH40" s="3"/>
      <c r="AI40" s="3"/>
      <c r="AJ40" s="3"/>
      <c r="AK40" s="3"/>
      <c r="AL40" s="3"/>
      <c r="AM40" s="81"/>
    </row>
    <row r="41" spans="1:39" ht="13.5" customHeight="1" outlineLevel="1">
      <c r="A41" s="83"/>
      <c r="B41" s="84" t="s">
        <v>314</v>
      </c>
      <c r="C41" s="85"/>
      <c r="D41" s="85"/>
      <c r="E41" s="85"/>
      <c r="F41" s="85"/>
      <c r="G41" s="86"/>
      <c r="H41" s="86"/>
      <c r="I41" s="86"/>
      <c r="J41" s="85"/>
      <c r="K41" s="86"/>
      <c r="L41" s="86">
        <f>SUM(L25:L40)</f>
        <v>4</v>
      </c>
      <c r="M41" s="86">
        <f>SUM(M25:M40)</f>
        <v>4</v>
      </c>
      <c r="N41" s="85">
        <f>SUM(N25:N40)</f>
        <v>4</v>
      </c>
      <c r="O41" s="85">
        <f>SUM(O25:O40)</f>
        <v>4</v>
      </c>
      <c r="P41" s="86">
        <f>SUM(P25:P40)</f>
        <v>4</v>
      </c>
      <c r="Q41" s="87">
        <f>SUM(Q25:Q40)</f>
        <v>4</v>
      </c>
      <c r="R41" s="86">
        <f>SUM(R25:R40)</f>
        <v>4</v>
      </c>
      <c r="S41" s="88">
        <f>SUM(S25:S40)</f>
        <v>4</v>
      </c>
      <c r="T41" s="86"/>
      <c r="U41" s="86"/>
      <c r="V41" s="89"/>
      <c r="W41" s="90"/>
      <c r="X41" s="90"/>
      <c r="Y41" s="89"/>
      <c r="Z41" s="85"/>
      <c r="AA41" s="85"/>
      <c r="AB41" s="89"/>
      <c r="AC41" s="89"/>
      <c r="AD41" s="83"/>
      <c r="AE41" s="83"/>
      <c r="AF41" s="83">
        <v>1.7428873751685903</v>
      </c>
      <c r="AG41" s="83">
        <v>1.6561415616089044</v>
      </c>
      <c r="AH41" s="83"/>
      <c r="AI41" s="83">
        <v>-0.766155922160947</v>
      </c>
      <c r="AJ41" s="83">
        <v>1.7150137112139487</v>
      </c>
      <c r="AK41" s="83">
        <v>1.7211064279689587</v>
      </c>
      <c r="AL41" s="83">
        <v>5.116833116696384</v>
      </c>
      <c r="AM41" s="89"/>
    </row>
    <row r="42" spans="1:39" ht="13.5" customHeight="1" outlineLevel="1">
      <c r="A42" s="1"/>
      <c r="B42" s="2" t="s">
        <v>0</v>
      </c>
      <c r="C42" s="3"/>
      <c r="D42" s="3"/>
      <c r="E42" s="3"/>
      <c r="F42" s="3"/>
      <c r="G42" s="4"/>
      <c r="H42" s="4"/>
      <c r="I42" s="4"/>
      <c r="J42" s="3"/>
      <c r="K42" s="4"/>
      <c r="L42" s="4"/>
      <c r="M42" s="4"/>
      <c r="N42" s="3"/>
      <c r="O42" s="3"/>
      <c r="P42" s="4"/>
      <c r="Q42" s="79"/>
      <c r="R42" s="79"/>
      <c r="S42" s="91"/>
      <c r="T42" s="4"/>
      <c r="U42" s="4"/>
      <c r="V42" s="82"/>
      <c r="W42" s="82"/>
      <c r="X42" s="82"/>
      <c r="Y42" s="82"/>
      <c r="Z42" s="82"/>
      <c r="AA42" s="82"/>
      <c r="AB42" s="82"/>
      <c r="AC42" s="82"/>
      <c r="AD42" s="82"/>
      <c r="AE42" s="82"/>
      <c r="AF42" s="82"/>
      <c r="AG42" s="82"/>
      <c r="AH42" s="82"/>
      <c r="AI42" s="82"/>
      <c r="AJ42" s="82"/>
      <c r="AK42" s="82"/>
      <c r="AL42" s="82"/>
      <c r="AM42" s="82"/>
    </row>
    <row r="43" spans="1:39" ht="13.5" customHeight="1" outlineLevel="1">
      <c r="A43" s="1"/>
      <c r="B43" s="2" t="s">
        <v>0</v>
      </c>
      <c r="C43" s="3"/>
      <c r="D43" s="3"/>
      <c r="E43" s="3"/>
      <c r="F43" s="3"/>
      <c r="G43" s="4"/>
      <c r="H43" s="4"/>
      <c r="I43" s="4"/>
      <c r="J43" s="3"/>
      <c r="K43" s="4"/>
      <c r="L43" s="4"/>
      <c r="M43" s="4"/>
      <c r="N43" s="3"/>
      <c r="O43" s="3"/>
      <c r="P43" s="4"/>
      <c r="Q43" s="79"/>
      <c r="R43" s="79"/>
      <c r="S43" s="91"/>
      <c r="T43" s="4"/>
      <c r="U43" s="4"/>
      <c r="V43" s="82"/>
      <c r="W43" s="82"/>
      <c r="X43" s="82"/>
      <c r="Y43" s="82"/>
      <c r="Z43" s="82"/>
      <c r="AA43" s="82"/>
      <c r="AB43" s="82"/>
      <c r="AC43" s="82"/>
      <c r="AD43" s="82"/>
      <c r="AE43" s="82"/>
      <c r="AF43" s="82"/>
      <c r="AG43" s="82"/>
      <c r="AH43" s="82"/>
      <c r="AI43" s="82"/>
      <c r="AJ43" s="82"/>
      <c r="AK43" s="82"/>
      <c r="AL43" s="82"/>
      <c r="AM43" s="82"/>
    </row>
    <row r="44" spans="1:39" ht="13.5" customHeight="1" outlineLevel="1">
      <c r="A44" s="92"/>
      <c r="B44" s="93" t="s">
        <v>323</v>
      </c>
      <c r="C44" s="93"/>
      <c r="D44" s="93"/>
      <c r="E44" s="93"/>
      <c r="F44" s="93"/>
      <c r="G44" s="94"/>
      <c r="H44" s="94"/>
      <c r="I44" s="94"/>
      <c r="J44" s="93"/>
      <c r="K44" s="94"/>
      <c r="L44" s="94"/>
      <c r="M44" s="94"/>
      <c r="N44" s="93"/>
      <c r="O44" s="93"/>
      <c r="P44" s="94"/>
      <c r="Q44" s="95"/>
      <c r="R44" s="95"/>
      <c r="S44" s="96"/>
      <c r="T44" s="94"/>
      <c r="U44" s="94"/>
      <c r="V44" s="97"/>
      <c r="W44" s="97"/>
      <c r="X44" s="97"/>
      <c r="Y44" s="97"/>
      <c r="Z44" s="97"/>
      <c r="AA44" s="97"/>
      <c r="AB44" s="97"/>
      <c r="AC44" s="97"/>
      <c r="AD44" s="97"/>
      <c r="AE44" s="97"/>
      <c r="AF44" s="97"/>
      <c r="AG44" s="97"/>
      <c r="AH44" s="97"/>
      <c r="AI44" s="97"/>
      <c r="AJ44" s="97"/>
      <c r="AK44" s="97"/>
      <c r="AL44" s="97"/>
      <c r="AM44" s="97"/>
    </row>
    <row r="45" spans="1:39" ht="13.5" customHeight="1" outlineLevel="1">
      <c r="A45" s="1"/>
      <c r="B45" s="2" t="s">
        <v>0</v>
      </c>
      <c r="C45" s="3"/>
      <c r="D45" s="3"/>
      <c r="E45" s="3"/>
      <c r="F45" s="3"/>
      <c r="G45" s="4"/>
      <c r="H45" s="4"/>
      <c r="I45" s="4"/>
      <c r="J45" s="3"/>
      <c r="K45" s="4"/>
      <c r="L45" s="4"/>
      <c r="M45" s="4"/>
      <c r="N45" s="3"/>
      <c r="O45" s="3"/>
      <c r="P45" s="4"/>
      <c r="Q45" s="79"/>
      <c r="R45" s="79"/>
      <c r="S45" s="91"/>
      <c r="T45" s="4"/>
      <c r="U45" s="4"/>
      <c r="V45" s="82"/>
      <c r="W45" s="82"/>
      <c r="X45" s="82"/>
      <c r="Y45" s="82"/>
      <c r="Z45" s="82"/>
      <c r="AA45" s="82"/>
      <c r="AB45" s="82"/>
      <c r="AC45" s="82"/>
      <c r="AD45" s="82"/>
      <c r="AE45" s="82"/>
      <c r="AF45" s="82"/>
      <c r="AG45" s="82"/>
      <c r="AH45" s="82"/>
      <c r="AI45" s="82"/>
      <c r="AJ45" s="82"/>
      <c r="AK45" s="82"/>
      <c r="AL45" s="82"/>
      <c r="AM45" s="82"/>
    </row>
    <row r="46" spans="1:39" ht="44.25" customHeight="1" outlineLevel="1">
      <c r="A46" s="98"/>
      <c r="B46" s="31" t="s">
        <v>29</v>
      </c>
      <c r="C46" s="31" t="s">
        <v>30</v>
      </c>
      <c r="D46" s="99"/>
      <c r="E46" s="99"/>
      <c r="F46" s="99"/>
      <c r="G46" s="99"/>
      <c r="H46" s="99"/>
      <c r="I46" s="100"/>
      <c r="J46" s="100"/>
      <c r="K46" s="100"/>
      <c r="L46" s="100" t="s">
        <v>36</v>
      </c>
      <c r="M46" s="100" t="s">
        <v>37</v>
      </c>
      <c r="N46" s="100" t="s">
        <v>38</v>
      </c>
      <c r="O46" s="100" t="s">
        <v>39</v>
      </c>
      <c r="P46" s="101"/>
      <c r="Q46" s="102" t="s">
        <v>40</v>
      </c>
      <c r="R46" s="103" t="s">
        <v>41</v>
      </c>
      <c r="S46" s="39" t="s">
        <v>42</v>
      </c>
      <c r="T46" s="104" t="s">
        <v>43</v>
      </c>
      <c r="U46" s="104" t="s">
        <v>44</v>
      </c>
      <c r="V46" s="105" t="s">
        <v>45</v>
      </c>
      <c r="W46" s="82"/>
      <c r="X46" s="82"/>
      <c r="Y46" s="82"/>
      <c r="Z46" s="82"/>
      <c r="AA46" s="82"/>
      <c r="AB46" s="82"/>
      <c r="AC46" s="82"/>
      <c r="AD46" s="82"/>
      <c r="AE46" s="82"/>
      <c r="AF46" s="82"/>
      <c r="AG46" s="82"/>
      <c r="AH46" s="82"/>
      <c r="AI46" s="82"/>
      <c r="AJ46" s="82"/>
      <c r="AK46" s="82"/>
      <c r="AL46" s="82"/>
      <c r="AM46" s="82"/>
    </row>
    <row r="47" spans="1:39" ht="18" customHeight="1" outlineLevel="1">
      <c r="A47" s="110"/>
      <c r="B47" s="54"/>
      <c r="C47" s="54"/>
      <c r="D47" s="54"/>
      <c r="E47" s="54"/>
      <c r="F47" s="54"/>
      <c r="G47" s="54"/>
      <c r="H47" s="54"/>
      <c r="I47" s="106"/>
      <c r="J47" s="106"/>
      <c r="K47" s="106"/>
      <c r="L47" s="106"/>
      <c r="M47" s="106" t="s">
        <v>17</v>
      </c>
      <c r="N47" s="106" t="s">
        <v>17</v>
      </c>
      <c r="O47" s="106" t="s">
        <v>64</v>
      </c>
      <c r="P47" s="106" t="s">
        <v>65</v>
      </c>
      <c r="Q47" s="107"/>
      <c r="R47" s="108" t="s">
        <v>17</v>
      </c>
      <c r="S47" s="49" t="s">
        <v>17</v>
      </c>
      <c r="T47" s="52"/>
      <c r="U47" s="52" t="s">
        <v>17</v>
      </c>
      <c r="V47" s="109" t="s">
        <v>17</v>
      </c>
      <c r="W47" s="82"/>
      <c r="X47" s="82"/>
      <c r="Y47" s="82"/>
      <c r="Z47" s="82"/>
      <c r="AA47" s="82"/>
      <c r="AB47" s="82"/>
      <c r="AC47" s="82"/>
      <c r="AD47" s="82"/>
      <c r="AE47" s="82"/>
      <c r="AF47" s="82"/>
      <c r="AG47" s="82"/>
      <c r="AH47" s="82"/>
      <c r="AI47" s="82"/>
      <c r="AJ47" s="82"/>
      <c r="AK47" s="82"/>
      <c r="AL47" s="82"/>
      <c r="AM47" s="82"/>
    </row>
    <row r="48" spans="1:39" ht="12.75" outlineLevel="1">
      <c r="A48" s="111"/>
      <c r="B48" s="112"/>
      <c r="C48" s="111"/>
      <c r="D48" s="111"/>
      <c r="E48" s="111"/>
      <c r="F48" s="111"/>
      <c r="G48" s="111"/>
      <c r="H48" s="111"/>
      <c r="I48" s="111"/>
      <c r="J48" s="111"/>
      <c r="K48" s="111"/>
      <c r="L48" s="111"/>
      <c r="M48" s="111"/>
      <c r="N48" s="113"/>
      <c r="O48" s="114"/>
      <c r="P48" s="114"/>
      <c r="Q48" s="115"/>
      <c r="R48" s="111"/>
      <c r="S48" s="116"/>
      <c r="T48" s="117"/>
      <c r="U48" s="117"/>
      <c r="V48" s="116"/>
      <c r="W48" s="82"/>
      <c r="X48" s="82"/>
      <c r="Y48" s="82"/>
      <c r="Z48" s="82"/>
      <c r="AA48" s="82"/>
      <c r="AB48" s="82"/>
      <c r="AC48" s="82"/>
      <c r="AD48" s="82"/>
      <c r="AE48" s="82"/>
      <c r="AF48" s="82"/>
      <c r="AG48" s="82"/>
      <c r="AH48" s="82"/>
      <c r="AI48" s="82"/>
      <c r="AJ48" s="82"/>
      <c r="AK48" s="82"/>
      <c r="AL48" s="82"/>
      <c r="AM48" s="82"/>
    </row>
    <row r="49" spans="1:39" ht="12.75" outlineLevel="1">
      <c r="A49" s="118" t="s">
        <v>70</v>
      </c>
      <c r="B49" s="2" t="s">
        <v>324</v>
      </c>
      <c r="C49" s="2" t="s">
        <v>74</v>
      </c>
      <c r="D49" s="12"/>
      <c r="E49" s="12"/>
      <c r="F49" s="12"/>
      <c r="G49" s="12"/>
      <c r="H49" s="12"/>
      <c r="I49" s="12"/>
      <c r="J49" s="12"/>
      <c r="K49" s="12"/>
      <c r="L49" s="76">
        <v>369096000</v>
      </c>
      <c r="M49" s="12">
        <v>2727110.59</v>
      </c>
      <c r="N49" s="76">
        <v>388651976.38</v>
      </c>
      <c r="O49" s="119">
        <v>98.6</v>
      </c>
      <c r="P49" s="119">
        <v>98.61383981193838</v>
      </c>
      <c r="Q49" s="120">
        <f>IF(ISERROR(L49*$C$20/$C$16),0,L49*$C$20/$C$16)</f>
        <v>4</v>
      </c>
      <c r="R49" s="121">
        <f>IF(ISERROR(M49*$C$20/$C$16),0,M49*$C$20/$C$16)</f>
        <v>4</v>
      </c>
      <c r="S49" s="122">
        <f>IF(ISERROR(N49*$C$20/$C$16),0,N49*$C$20/$C$16)</f>
        <v>4</v>
      </c>
      <c r="T49" s="123">
        <f>IF(ISERROR(L49*$C$21/N54),0,L49*$C$21/N54)</f>
        <v>4</v>
      </c>
      <c r="U49" s="123">
        <f>IF(ISERROR(M49*$C$21/N54),0,M49*$C$21/N54)</f>
        <v>4</v>
      </c>
      <c r="V49" s="124">
        <f>IF(ISERROR(O49*$C$21/N54),0,O49*$C$21/N54)</f>
        <v>4</v>
      </c>
      <c r="W49" s="82"/>
      <c r="X49" s="82"/>
      <c r="Y49" s="82"/>
      <c r="Z49" s="82"/>
      <c r="AA49" s="82"/>
      <c r="AB49" s="82"/>
      <c r="AC49" s="82"/>
      <c r="AD49" s="82"/>
      <c r="AE49" s="82"/>
      <c r="AF49" s="82"/>
      <c r="AG49" s="82"/>
      <c r="AH49" s="82"/>
      <c r="AI49" s="82"/>
      <c r="AJ49" s="82"/>
      <c r="AK49" s="82"/>
      <c r="AL49" s="82"/>
      <c r="AM49" s="82"/>
    </row>
    <row r="50" spans="1:39" ht="12.75" outlineLevel="1">
      <c r="A50" s="118" t="s">
        <v>91</v>
      </c>
      <c r="B50" s="2" t="s">
        <v>331</v>
      </c>
      <c r="C50" s="2"/>
      <c r="D50" s="12"/>
      <c r="E50" s="12"/>
      <c r="F50" s="12"/>
      <c r="G50" s="12"/>
      <c r="H50" s="12"/>
      <c r="I50" s="12"/>
      <c r="J50" s="12"/>
      <c r="K50" s="12"/>
      <c r="L50" s="76">
        <v>0</v>
      </c>
      <c r="M50" s="12">
        <v>0</v>
      </c>
      <c r="N50" s="76">
        <v>2727110.59</v>
      </c>
      <c r="O50" s="119">
        <v>0.7</v>
      </c>
      <c r="P50" s="119">
        <v>0.6919580066655439</v>
      </c>
      <c r="Q50" s="120">
        <f>IF(ISERROR(L50*$C$20/$C$16),0,L50*$C$20/$C$16)</f>
        <v>4</v>
      </c>
      <c r="R50" s="121">
        <f>IF(ISERROR(M50*$C$20/$C$16),0,M50*$C$20/$C$16)</f>
        <v>4</v>
      </c>
      <c r="S50" s="122">
        <f>IF(ISERROR(N50*$C$20/$C$16),0,N50*$C$20/$C$16)</f>
        <v>4</v>
      </c>
      <c r="T50" s="123">
        <f>IF(ISERROR(L50*$C$21/N55),0,L50*$C$21/N55)</f>
        <v>4</v>
      </c>
      <c r="U50" s="123">
        <f>IF(ISERROR(M50*$C$21/N55),0,M50*$C$21/N55)</f>
        <v>4</v>
      </c>
      <c r="V50" s="124">
        <f>IF(ISERROR(O50*$C$21/N55),0,O50*$C$21/N55)</f>
        <v>4</v>
      </c>
      <c r="W50" s="82"/>
      <c r="X50" s="82"/>
      <c r="Y50" s="82"/>
      <c r="Z50" s="82"/>
      <c r="AA50" s="82"/>
      <c r="AB50" s="82"/>
      <c r="AC50" s="82"/>
      <c r="AD50" s="82"/>
      <c r="AE50" s="82"/>
      <c r="AF50" s="82"/>
      <c r="AG50" s="82"/>
      <c r="AH50" s="82"/>
      <c r="AI50" s="82"/>
      <c r="AJ50" s="82"/>
      <c r="AK50" s="82"/>
      <c r="AL50" s="82"/>
      <c r="AM50" s="82"/>
    </row>
    <row r="51" spans="1:39" ht="12.75" outlineLevel="1">
      <c r="A51" s="118" t="s">
        <v>108</v>
      </c>
      <c r="B51" s="2" t="s">
        <v>338</v>
      </c>
      <c r="C51" s="2"/>
      <c r="D51" s="12"/>
      <c r="E51" s="12"/>
      <c r="F51" s="12"/>
      <c r="G51" s="12"/>
      <c r="H51" s="12"/>
      <c r="I51" s="12"/>
      <c r="J51" s="12"/>
      <c r="K51" s="12"/>
      <c r="L51" s="76">
        <v>0</v>
      </c>
      <c r="M51" s="12">
        <v>0</v>
      </c>
      <c r="N51" s="76">
        <v>-32484.16</v>
      </c>
      <c r="O51" s="119">
        <v>0</v>
      </c>
      <c r="P51" s="119">
        <v>-0.00824230402838361</v>
      </c>
      <c r="Q51" s="120">
        <f>IF(ISERROR(L51*$C$20/$C$16),0,L51*$C$20/$C$16)</f>
        <v>4</v>
      </c>
      <c r="R51" s="121">
        <f>IF(ISERROR(M51*$C$20/$C$16),0,M51*$C$20/$C$16)</f>
        <v>4</v>
      </c>
      <c r="S51" s="122">
        <f>IF(ISERROR(N51*$C$20/$C$16),0,N51*$C$20/$C$16)</f>
        <v>4</v>
      </c>
      <c r="T51" s="123">
        <f>IF(ISERROR(L51*$C$21/N56),0,L51*$C$21/N56)</f>
        <v>4</v>
      </c>
      <c r="U51" s="123">
        <f>IF(ISERROR(M51*$C$21/N56),0,M51*$C$21/N56)</f>
        <v>4</v>
      </c>
      <c r="V51" s="124">
        <f>IF(ISERROR(O51*$C$21/N56),0,O51*$C$21/N56)</f>
        <v>4</v>
      </c>
      <c r="W51" s="82"/>
      <c r="X51" s="82"/>
      <c r="Y51" s="82"/>
      <c r="Z51" s="82"/>
      <c r="AA51" s="82"/>
      <c r="AB51" s="82"/>
      <c r="AC51" s="82"/>
      <c r="AD51" s="82"/>
      <c r="AE51" s="82"/>
      <c r="AF51" s="82"/>
      <c r="AG51" s="82"/>
      <c r="AH51" s="82"/>
      <c r="AI51" s="82"/>
      <c r="AJ51" s="82"/>
      <c r="AK51" s="82"/>
      <c r="AL51" s="82"/>
      <c r="AM51" s="82"/>
    </row>
    <row r="52" spans="1:39" ht="12.75" outlineLevel="1">
      <c r="A52" s="118"/>
      <c r="B52" s="2" t="s">
        <v>312</v>
      </c>
      <c r="C52" s="12"/>
      <c r="D52" s="12"/>
      <c r="E52" s="12"/>
      <c r="F52" s="12"/>
      <c r="G52" s="12"/>
      <c r="H52" s="12"/>
      <c r="I52" s="12"/>
      <c r="J52" s="12"/>
      <c r="K52" s="12"/>
      <c r="L52" s="12"/>
      <c r="M52" s="12"/>
      <c r="N52" s="76">
        <v>5495549.97</v>
      </c>
      <c r="O52" s="119">
        <v>1.4</v>
      </c>
      <c r="P52" s="119">
        <v>1.3944024920902753</v>
      </c>
      <c r="Q52" s="125"/>
      <c r="R52" s="126"/>
      <c r="S52" s="127"/>
      <c r="T52" s="123"/>
      <c r="U52" s="123"/>
      <c r="V52" s="124"/>
      <c r="W52" s="82"/>
      <c r="X52" s="82"/>
      <c r="Y52" s="82"/>
      <c r="Z52" s="82"/>
      <c r="AA52" s="82"/>
      <c r="AB52" s="82"/>
      <c r="AC52" s="82"/>
      <c r="AD52" s="82"/>
      <c r="AE52" s="82"/>
      <c r="AF52" s="82"/>
      <c r="AG52" s="82"/>
      <c r="AH52" s="82"/>
      <c r="AI52" s="82"/>
      <c r="AJ52" s="82"/>
      <c r="AK52" s="82"/>
      <c r="AL52" s="82"/>
      <c r="AM52" s="82"/>
    </row>
    <row r="53" spans="1:39" ht="12.75" outlineLevel="1">
      <c r="A53" s="113"/>
      <c r="B53" s="128"/>
      <c r="C53" s="129"/>
      <c r="D53" s="129"/>
      <c r="E53" s="129"/>
      <c r="F53" s="129"/>
      <c r="G53" s="129"/>
      <c r="H53" s="129"/>
      <c r="I53" s="129"/>
      <c r="J53" s="129"/>
      <c r="K53" s="129"/>
      <c r="L53" s="129"/>
      <c r="M53" s="129"/>
      <c r="N53" s="129"/>
      <c r="O53" s="129"/>
      <c r="P53" s="130"/>
      <c r="Q53" s="115"/>
      <c r="R53" s="111"/>
      <c r="S53" s="116"/>
      <c r="T53" s="117"/>
      <c r="U53" s="117"/>
      <c r="V53" s="116"/>
      <c r="W53" s="82"/>
      <c r="X53" s="82"/>
      <c r="Y53" s="82"/>
      <c r="Z53" s="82"/>
      <c r="AA53" s="82"/>
      <c r="AB53" s="82"/>
      <c r="AC53" s="82"/>
      <c r="AD53" s="82"/>
      <c r="AE53" s="82"/>
      <c r="AF53" s="82"/>
      <c r="AG53" s="82"/>
      <c r="AH53" s="82"/>
      <c r="AI53" s="82"/>
      <c r="AJ53" s="82"/>
      <c r="AK53" s="82"/>
      <c r="AL53" s="82"/>
      <c r="AM53" s="82"/>
    </row>
    <row r="54" spans="1:39" ht="13.5" customHeight="1" outlineLevel="1">
      <c r="A54" s="83"/>
      <c r="B54" s="84" t="s">
        <v>314</v>
      </c>
      <c r="C54" s="83"/>
      <c r="D54" s="83"/>
      <c r="E54" s="83"/>
      <c r="F54" s="83"/>
      <c r="G54" s="83"/>
      <c r="H54" s="83"/>
      <c r="I54" s="83"/>
      <c r="J54" s="83"/>
      <c r="K54" s="83"/>
      <c r="L54" s="83">
        <f>SUM(L49:L53)</f>
        <v>4</v>
      </c>
      <c r="M54" s="83">
        <f>SUM(M49:M53)</f>
        <v>4</v>
      </c>
      <c r="N54" s="83">
        <f>SUM(N49:N53)</f>
        <v>4</v>
      </c>
      <c r="O54" s="83"/>
      <c r="P54" s="83">
        <f>SUM(P49:P53)</f>
        <v>4</v>
      </c>
      <c r="Q54" s="131">
        <f>SUM(Q49:Q53)</f>
        <v>4</v>
      </c>
      <c r="R54" s="83">
        <f>SUM(R49:R53)</f>
        <v>4</v>
      </c>
      <c r="S54" s="132">
        <f>SUM(S49:S53)</f>
        <v>4</v>
      </c>
      <c r="T54" s="83">
        <f>SUM(T49:T53)</f>
        <v>4</v>
      </c>
      <c r="U54" s="83">
        <f>SUM(U49:U53)</f>
        <v>4</v>
      </c>
      <c r="V54" s="132">
        <f>SUM(V49:V53)</f>
        <v>4</v>
      </c>
      <c r="W54" s="82"/>
      <c r="X54" s="82"/>
      <c r="Y54" s="82"/>
      <c r="Z54" s="82"/>
      <c r="AA54" s="82"/>
      <c r="AB54" s="82"/>
      <c r="AC54" s="82"/>
      <c r="AD54" s="82"/>
      <c r="AE54" s="82"/>
      <c r="AF54" s="82"/>
      <c r="AG54" s="82"/>
      <c r="AH54" s="82"/>
      <c r="AI54" s="82"/>
      <c r="AJ54" s="82"/>
      <c r="AK54" s="82"/>
      <c r="AL54" s="82"/>
      <c r="AM54" s="82"/>
    </row>
    <row r="55" spans="1:39" ht="18" customHeight="1" outlineLevel="1">
      <c r="A55" s="1"/>
      <c r="B55" s="133" t="s">
        <v>0</v>
      </c>
      <c r="C55" s="82"/>
      <c r="D55" s="82"/>
      <c r="E55" s="82"/>
      <c r="F55" s="82"/>
      <c r="G55" s="91"/>
      <c r="H55" s="91"/>
      <c r="I55" s="91"/>
      <c r="J55" s="82"/>
      <c r="K55" s="91"/>
      <c r="L55" s="91"/>
      <c r="M55" s="91"/>
      <c r="N55" s="82"/>
      <c r="O55" s="82"/>
      <c r="P55" s="91"/>
      <c r="Q55" s="91"/>
      <c r="R55" s="91"/>
      <c r="S55" s="91"/>
      <c r="T55" s="91"/>
      <c r="U55" s="91"/>
      <c r="V55" s="82"/>
      <c r="W55" s="82"/>
      <c r="X55" s="82"/>
      <c r="Y55" s="82"/>
      <c r="Z55" s="82"/>
      <c r="AA55" s="82"/>
      <c r="AB55" s="82"/>
      <c r="AC55" s="82"/>
      <c r="AD55" s="82"/>
      <c r="AE55" s="82"/>
      <c r="AF55" s="82"/>
      <c r="AG55" s="82"/>
      <c r="AH55" s="82"/>
      <c r="AI55" s="82"/>
      <c r="AJ55" s="82"/>
      <c r="AK55" s="82"/>
      <c r="AL55" s="82"/>
      <c r="AM55" s="82"/>
    </row>
    <row r="56" spans="1:39" ht="18" customHeight="1" outlineLevel="1">
      <c r="A56" s="1"/>
      <c r="B56" s="133" t="s">
        <v>355</v>
      </c>
      <c r="C56" s="82"/>
      <c r="D56" s="82"/>
      <c r="E56" s="82"/>
      <c r="F56" s="82"/>
      <c r="G56" s="91"/>
      <c r="H56" s="91"/>
      <c r="I56" s="91"/>
      <c r="J56" s="82"/>
      <c r="K56" s="91"/>
      <c r="L56" s="91"/>
      <c r="M56" s="91"/>
      <c r="N56" s="82"/>
      <c r="O56" s="82"/>
      <c r="P56" s="91"/>
      <c r="Q56" s="91"/>
      <c r="R56" s="91"/>
      <c r="S56" s="91"/>
      <c r="T56" s="91"/>
      <c r="U56" s="91"/>
      <c r="V56" s="82"/>
      <c r="W56" s="82"/>
      <c r="X56" s="82"/>
      <c r="Y56" s="82"/>
      <c r="Z56" s="82"/>
      <c r="AA56" s="82"/>
      <c r="AB56" s="82"/>
      <c r="AC56" s="82"/>
      <c r="AD56" s="82"/>
      <c r="AE56" s="82"/>
      <c r="AF56" s="82"/>
      <c r="AG56" s="82"/>
      <c r="AH56" s="82"/>
      <c r="AI56" s="82"/>
      <c r="AJ56" s="82"/>
      <c r="AK56" s="82"/>
      <c r="AL56" s="82"/>
      <c r="AM56" s="82"/>
    </row>
    <row r="57" spans="1:39" ht="18" customHeight="1" outlineLevel="1">
      <c r="A57" s="1"/>
      <c r="B57" s="133" t="s">
        <v>0</v>
      </c>
      <c r="C57" s="82"/>
      <c r="D57" s="82"/>
      <c r="E57" s="82"/>
      <c r="F57" s="82"/>
      <c r="G57" s="91"/>
      <c r="H57" s="91"/>
      <c r="I57" s="91"/>
      <c r="J57" s="82"/>
      <c r="K57" s="91"/>
      <c r="L57" s="91"/>
      <c r="M57" s="91"/>
      <c r="N57" s="82"/>
      <c r="O57" s="82"/>
      <c r="P57" s="91"/>
      <c r="Q57" s="91"/>
      <c r="R57" s="91"/>
      <c r="S57" s="91"/>
      <c r="T57" s="91"/>
      <c r="U57" s="91"/>
      <c r="V57" s="82"/>
      <c r="W57" s="82"/>
      <c r="X57" s="82"/>
      <c r="Y57" s="82"/>
      <c r="Z57" s="82"/>
      <c r="AA57" s="82"/>
      <c r="AB57" s="82"/>
      <c r="AC57" s="82"/>
      <c r="AD57" s="82"/>
      <c r="AE57" s="82"/>
      <c r="AF57" s="82"/>
      <c r="AG57" s="82"/>
      <c r="AH57" s="82"/>
      <c r="AI57" s="82"/>
      <c r="AJ57" s="82"/>
      <c r="AK57" s="82"/>
      <c r="AL57" s="82"/>
      <c r="AM57" s="82"/>
    </row>
    <row r="58" spans="1:39" ht="18" customHeight="1" outlineLevel="1">
      <c r="A58" s="1"/>
      <c r="B58" s="133" t="s">
        <v>356</v>
      </c>
      <c r="C58" s="82"/>
      <c r="D58" s="82"/>
      <c r="E58" s="82"/>
      <c r="F58" s="82"/>
      <c r="G58" s="91"/>
      <c r="H58" s="91"/>
      <c r="I58" s="91"/>
      <c r="J58" s="82"/>
      <c r="K58" s="91"/>
      <c r="L58" s="91"/>
      <c r="M58" s="91"/>
      <c r="N58" s="82"/>
      <c r="O58" s="82"/>
      <c r="P58" s="91"/>
      <c r="Q58" s="91"/>
      <c r="R58" s="91"/>
      <c r="S58" s="91"/>
      <c r="T58" s="91"/>
      <c r="U58" s="91"/>
      <c r="V58" s="82"/>
      <c r="W58" s="82"/>
      <c r="X58" s="82"/>
      <c r="Y58" s="82"/>
      <c r="Z58" s="82"/>
      <c r="AA58" s="82"/>
      <c r="AB58" s="82"/>
      <c r="AC58" s="82"/>
      <c r="AD58" s="82"/>
      <c r="AE58" s="82"/>
      <c r="AF58" s="82"/>
      <c r="AG58" s="82"/>
      <c r="AH58" s="82"/>
      <c r="AI58" s="82"/>
      <c r="AJ58" s="82"/>
      <c r="AK58" s="82"/>
      <c r="AL58" s="82"/>
      <c r="AM58" s="82"/>
    </row>
    <row r="59" spans="1:39" ht="36.75" customHeight="1" outlineLevel="1">
      <c r="A59" s="134"/>
      <c r="B59" s="135" t="s">
        <v>357</v>
      </c>
      <c r="C59" s="136"/>
      <c r="D59" s="136"/>
      <c r="E59" s="136"/>
      <c r="F59" s="136"/>
      <c r="G59" s="136"/>
      <c r="H59" s="136"/>
      <c r="I59" s="136"/>
      <c r="J59" s="136"/>
      <c r="K59" s="136"/>
      <c r="L59" s="136"/>
      <c r="M59" s="136"/>
      <c r="N59" s="136"/>
      <c r="O59" s="136"/>
      <c r="P59" s="137"/>
      <c r="Q59" s="138"/>
      <c r="R59" s="138"/>
      <c r="S59" s="91"/>
      <c r="T59" s="91"/>
      <c r="U59" s="91"/>
      <c r="V59" s="82"/>
      <c r="W59" s="82"/>
      <c r="X59" s="82"/>
      <c r="Y59" s="82"/>
      <c r="Z59" s="82"/>
      <c r="AA59" s="82"/>
      <c r="AB59" s="82"/>
      <c r="AC59" s="82"/>
      <c r="AD59" s="82"/>
      <c r="AE59" s="82"/>
      <c r="AF59" s="82"/>
      <c r="AG59" s="82"/>
      <c r="AH59" s="82"/>
      <c r="AI59" s="82"/>
      <c r="AJ59" s="82"/>
      <c r="AK59" s="82"/>
      <c r="AL59" s="82"/>
      <c r="AM59" s="82"/>
    </row>
    <row r="60" spans="1:39" ht="25.5" customHeight="1" outlineLevel="1">
      <c r="A60" s="134"/>
      <c r="B60" s="139" t="s">
        <v>358</v>
      </c>
      <c r="C60" s="3"/>
      <c r="D60" s="3"/>
      <c r="E60" s="3"/>
      <c r="F60" s="3"/>
      <c r="G60" s="4"/>
      <c r="H60" s="4"/>
      <c r="I60" s="4"/>
      <c r="J60" s="3"/>
      <c r="K60" s="4"/>
      <c r="L60" s="4"/>
      <c r="M60" s="4"/>
      <c r="N60" s="3"/>
      <c r="O60" s="3"/>
      <c r="P60" s="4"/>
      <c r="Q60" s="138"/>
      <c r="R60" s="138"/>
      <c r="S60" s="91"/>
      <c r="T60" s="91"/>
      <c r="U60" s="91"/>
      <c r="V60" s="82"/>
      <c r="W60" s="82"/>
      <c r="X60" s="82"/>
      <c r="Y60" s="82"/>
      <c r="Z60" s="82"/>
      <c r="AA60" s="82"/>
      <c r="AB60" s="82"/>
      <c r="AC60" s="82"/>
      <c r="AD60" s="82"/>
      <c r="AE60" s="82"/>
      <c r="AF60" s="82"/>
      <c r="AG60" s="82"/>
      <c r="AH60" s="82"/>
      <c r="AI60" s="82"/>
      <c r="AJ60" s="82"/>
      <c r="AK60" s="82"/>
      <c r="AL60" s="82"/>
      <c r="AM60" s="82"/>
    </row>
    <row r="61" spans="1:39" ht="45" customHeight="1" outlineLevel="1">
      <c r="A61" s="134"/>
      <c r="B61" s="140" t="s">
        <v>359</v>
      </c>
      <c r="C61" s="141"/>
      <c r="D61" s="141"/>
      <c r="E61" s="141"/>
      <c r="F61" s="141"/>
      <c r="G61" s="141"/>
      <c r="H61" s="141"/>
      <c r="I61" s="141"/>
      <c r="J61" s="141"/>
      <c r="K61" s="141"/>
      <c r="L61" s="141"/>
      <c r="M61" s="141"/>
      <c r="N61" s="141"/>
      <c r="O61" s="141"/>
      <c r="P61" s="142"/>
      <c r="Q61" s="138"/>
      <c r="R61" s="138"/>
      <c r="S61" s="91"/>
      <c r="T61" s="91"/>
      <c r="U61" s="91"/>
      <c r="V61" s="82"/>
      <c r="W61" s="82"/>
      <c r="X61" s="82"/>
      <c r="Y61" s="82"/>
      <c r="Z61" s="82"/>
      <c r="AA61" s="82"/>
      <c r="AB61" s="82"/>
      <c r="AC61" s="82"/>
      <c r="AD61" s="82"/>
      <c r="AE61" s="82"/>
      <c r="AF61" s="82"/>
      <c r="AG61" s="82"/>
      <c r="AH61" s="82"/>
      <c r="AI61" s="82"/>
      <c r="AJ61" s="82"/>
      <c r="AK61" s="82"/>
      <c r="AL61" s="82"/>
      <c r="AM61" s="82"/>
    </row>
  </sheetData>
  <mergeCells count="37">
    <mergeCell ref="A23:A24"/>
    <mergeCell ref="B23:B24"/>
    <mergeCell ref="C23:C24"/>
    <mergeCell ref="D23:D24"/>
    <mergeCell ref="E23:E24"/>
    <mergeCell ref="F23:F24"/>
    <mergeCell ref="G23:G24"/>
    <mergeCell ref="H23:H24"/>
    <mergeCell ref="O23:P23"/>
    <mergeCell ref="A46:A47"/>
    <mergeCell ref="B46:B47"/>
    <mergeCell ref="C46:C47"/>
    <mergeCell ref="D46:D47"/>
    <mergeCell ref="E46:E47"/>
    <mergeCell ref="F46:F47"/>
    <mergeCell ref="G46:G47"/>
    <mergeCell ref="H46:H47"/>
    <mergeCell ref="O46:P46"/>
    <mergeCell ref="W46:W54"/>
    <mergeCell ref="X46:X54"/>
    <mergeCell ref="Y46:Y54"/>
    <mergeCell ref="Z46:Z54"/>
    <mergeCell ref="AA46:AA54"/>
    <mergeCell ref="AB46:AB54"/>
    <mergeCell ref="AC46:AC54"/>
    <mergeCell ref="AD46:AD54"/>
    <mergeCell ref="AE46:AE54"/>
    <mergeCell ref="AF46:AF54"/>
    <mergeCell ref="AG46:AG54"/>
    <mergeCell ref="AH46:AH54"/>
    <mergeCell ref="AI46:AI54"/>
    <mergeCell ref="AJ46:AJ54"/>
    <mergeCell ref="AK46:AK54"/>
    <mergeCell ref="AL46:AL54"/>
    <mergeCell ref="AM46:AM54"/>
    <mergeCell ref="B59:P59"/>
    <mergeCell ref="B61:P61"/>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