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DE000ETFL151" sheetId="1" r:id="rId1"/>
  </sheets>
  <definedNames>
    <definedName name="__bookmark_2">'DE000ETFL151'!$A$61:$V$78</definedName>
    <definedName name="__bookmark_1">'DE000ETFL151'!$A$1:$AM$85</definedName>
  </definedNames>
  <calcPr fullCalcOnLoad="1"/>
</workbook>
</file>

<file path=xl/sharedStrings.xml><?xml version="1.0" encoding="utf-8"?>
<sst xmlns="http://schemas.openxmlformats.org/spreadsheetml/2006/main" count="482" uniqueCount="673">
  <si>
    <t/>
  </si>
  <si>
    <t>Deka Investment GmbH</t>
  </si>
  <si>
    <t>Zusammensetzung des Fondsvermögens vom 17.03.2017</t>
  </si>
  <si>
    <t>Die Mitteilung erfolgt in Anwendung des § 6 GroMiKV.</t>
  </si>
  <si>
    <t>Kreditnehmerergänzungsschlüssel Fonds gem. § 6 Abs. 2 Satz 1 Nr. 1 – 4 GroMiKV:</t>
  </si>
  <si>
    <t>Nichtanrechnung</t>
  </si>
  <si>
    <t>212</t>
  </si>
  <si>
    <t>Anrechnung</t>
  </si>
  <si>
    <t>312</t>
  </si>
  <si>
    <t>Deka iBoxx EUR Liquid Sovereign Diversified 7-10 UCITS ETF</t>
  </si>
  <si>
    <t>ISIN</t>
  </si>
  <si>
    <t>DE000ETFL151</t>
  </si>
  <si>
    <t>Bloomberg</t>
  </si>
  <si>
    <t>ETFES71 GY</t>
  </si>
  <si>
    <t>Reuters RIC</t>
  </si>
  <si>
    <t>ETFES71.DE</t>
  </si>
  <si>
    <t>Fondswährung</t>
  </si>
  <si>
    <t>EUR</t>
  </si>
  <si>
    <t>Anzahl ausstehender Anteile</t>
  </si>
  <si>
    <t>Barbestand (EUR)</t>
  </si>
  <si>
    <t>Stückzins (EUR)</t>
  </si>
  <si>
    <t>Barbestand pro Anteil (EUR)</t>
  </si>
  <si>
    <t>Anzahl gehaltene Fondsanteile</t>
  </si>
  <si>
    <t>0</t>
  </si>
  <si>
    <t>Investitionsvolumen / Buchwert</t>
  </si>
  <si>
    <t>Kennzahlen Einzeltitel</t>
  </si>
  <si>
    <t>Gehaltene Anteile in Feld C20 eintragen</t>
  </si>
  <si>
    <t>Investitionsvolumen in Feld C21 eintragen</t>
  </si>
  <si>
    <t>Name</t>
  </si>
  <si>
    <t>Emittenten-ID</t>
  </si>
  <si>
    <t>Emittenten-Name</t>
  </si>
  <si>
    <t>Land</t>
  </si>
  <si>
    <t>Aufgelaufene Stückzinstage</t>
  </si>
  <si>
    <t>Kurs (EUR)</t>
  </si>
  <si>
    <t>WP-Währung</t>
  </si>
  <si>
    <t>WP-Art</t>
  </si>
  <si>
    <t>Nominalbestand</t>
  </si>
  <si>
    <t>Stückzinsforderungen</t>
  </si>
  <si>
    <t>Bestand</t>
  </si>
  <si>
    <t>Bestand (%)</t>
  </si>
  <si>
    <t>Nominale pro gehaltene Anteile</t>
  </si>
  <si>
    <t>Stückzins pro gehaltene Anteile</t>
  </si>
  <si>
    <t>Bestand pro gehaltene Anteile</t>
  </si>
  <si>
    <t>Nominale gemäß Investitions-volumen</t>
  </si>
  <si>
    <t>Stückzins gemäß Investitions-volumen</t>
  </si>
  <si>
    <t>Bestand gemäß Investitions-volumen</t>
  </si>
  <si>
    <t>WPL: Nominale pro gehaltene Anteile</t>
  </si>
  <si>
    <t>WPL: Stückzins pro gehaltene Anteile</t>
  </si>
  <si>
    <t>WPL: Bestand pro gehaltene Anteile</t>
  </si>
  <si>
    <t>WPL: Nominale gemäß Investitions-volumen</t>
  </si>
  <si>
    <t>WPL: Stückzins gemäß Investitions-volumen</t>
  </si>
  <si>
    <t>WPL: Bestand gemäß Investitions-volumen</t>
  </si>
  <si>
    <t>Emissionsdatum</t>
  </si>
  <si>
    <t>Endfälligkeit</t>
  </si>
  <si>
    <t>Restlaufzeit</t>
  </si>
  <si>
    <t>Kupon</t>
  </si>
  <si>
    <t>Anzahl Kuponzahlungen</t>
  </si>
  <si>
    <t>Rendite</t>
  </si>
  <si>
    <t>Duration</t>
  </si>
  <si>
    <t>Modified Duration</t>
  </si>
  <si>
    <t>Konvexität</t>
  </si>
  <si>
    <t>WP-Branche</t>
  </si>
  <si>
    <t>17.03.2017</t>
  </si>
  <si>
    <t>(EUR)</t>
  </si>
  <si>
    <t>gerundet</t>
  </si>
  <si>
    <t>exakt</t>
  </si>
  <si>
    <t>(Datum)</t>
  </si>
  <si>
    <t>(Jahre)</t>
  </si>
  <si>
    <t>(%)</t>
  </si>
  <si>
    <t>(pro Jahr)</t>
  </si>
  <si>
    <t>1</t>
  </si>
  <si>
    <t>REP OF AUSTRIA 1.65% 14-21/10/2024</t>
  </si>
  <si>
    <t>AT0000A185T1</t>
  </si>
  <si>
    <t>DEA1ZKDT=IXR</t>
  </si>
  <si>
    <t>Österreich, Republik</t>
  </si>
  <si>
    <t>Österreich</t>
  </si>
  <si>
    <t>Rentenpapier</t>
  </si>
  <si>
    <t>=WENN(ODER(ISTFEHLER(L25*$C$20/$C$16),IDENTISCH(TEIL(B25,1,4),"WPL:")),0,L25*$C$20/$C$16)</t>
  </si>
  <si>
    <t>=WENN(ODER(ISTFEHLER(M25*$C$20/$C$16),IDENTISCH(TEIL(B25,1,4),"WPL:")),0,M25*$C$20/$C$16)</t>
  </si>
  <si>
    <t>=WENN(ODER(ISTFEHLER(N25*$C$20/$C$16),IDENTISCH(TEIL(B25,1,4),"WPL:")),0,N25*$C$20/$C$16)</t>
  </si>
  <si>
    <t>=WENN(ODER(ISTFEHLER(L25*$C$21/N56),IDENTISCH(TEIL(B25,1,4),"WPL:")),0,L25*$C$21/N56)</t>
  </si>
  <si>
    <t>=WENN(ODER(ISTFEHLER(M25*$C$21/N56),IDENTISCH(TEIL(B25,1,4),"WPL:")),0,M25*$C$21/N56)</t>
  </si>
  <si>
    <t>=WENN(ODER(ISTFEHLER(M25*$C$20),IDENTISCH(TEIL(B25,1,4),"WPL:")),0,N25*$C$21/N56)</t>
  </si>
  <si>
    <t>=WENN(ODER(ISTFEHLER(L25*$C$20/$C$16),TEIL(B25,1,4)&lt;&gt;"WPL:"),0,L25*$C$20/$C$16)</t>
  </si>
  <si>
    <t>=WENN(ODER(ISTFEHLER(2648.5*$C$21/N56),TEIL(B25,1,4)&lt;&gt;"WPL:"),0,2648.5*$C$21/N56)</t>
  </si>
  <si>
    <t>=WENN(ODER(ISTFEHLER(429916.04*$C$20/$C$16),TEIL(B25,1,4)&lt;&gt;"WPL:"),0,429916.04*$C$20/$C$16)</t>
  </si>
  <si>
    <t>=WENN(ODER(ISTFEHLER(L25*$C$21/N56),TEIL(B25,1,4)&lt;&gt;"WPL:"),0,L25*$C$21/N56)</t>
  </si>
  <si>
    <t>=WENN(ODER(ISTFEHLER(429916.04*$C$20),TEIL(B25,1,4)&lt;&gt;"WPL:"),0,429916.04*$C$21/N56)</t>
  </si>
  <si>
    <t xml:space="preserve">04.06.2014                    </t>
  </si>
  <si>
    <t xml:space="preserve">21.10.2024                    </t>
  </si>
  <si>
    <t>öffentliche Anleihen</t>
  </si>
  <si>
    <t>2</t>
  </si>
  <si>
    <t>REP OF AUSTRIA 1.2% 15-20/10/2025</t>
  </si>
  <si>
    <t>AT0000A1FAP5</t>
  </si>
  <si>
    <t>DEA1Z3D2=IXR</t>
  </si>
  <si>
    <t>=WENN(ODER(ISTFEHLER(L26*$C$20/$C$16),IDENTISCH(TEIL(B26,1,4),"WPL:")),0,L26*$C$20/$C$16)</t>
  </si>
  <si>
    <t>=WENN(ODER(ISTFEHLER(M26*$C$20/$C$16),IDENTISCH(TEIL(B26,1,4),"WPL:")),0,M26*$C$20/$C$16)</t>
  </si>
  <si>
    <t>=WENN(ODER(ISTFEHLER(N26*$C$20/$C$16),IDENTISCH(TEIL(B26,1,4),"WPL:")),0,N26*$C$20/$C$16)</t>
  </si>
  <si>
    <t>=WENN(ODER(ISTFEHLER(L26*$C$21/N56),IDENTISCH(TEIL(B26,1,4),"WPL:")),0,L26*$C$21/N56)</t>
  </si>
  <si>
    <t>=WENN(ODER(ISTFEHLER(M26*$C$21/N56),IDENTISCH(TEIL(B26,1,4),"WPL:")),0,M26*$C$21/N56)</t>
  </si>
  <si>
    <t>=WENN(ODER(ISTFEHLER(M26*$C$20),IDENTISCH(TEIL(B26,1,4),"WPL:")),0,N26*$C$21/N56)</t>
  </si>
  <si>
    <t>=WENN(ODER(ISTFEHLER(L26*$C$20/$C$16),TEIL(B26,1,4)&lt;&gt;"WPL:"),0,L26*$C$20/$C$16)</t>
  </si>
  <si>
    <t>=WENN(ODER(ISTFEHLER(1963.92*$C$21/N56),TEIL(B26,1,4)&lt;&gt;"WPL:"),0,1963.92*$C$21/N56)</t>
  </si>
  <si>
    <t>=WENN(ODER(ISTFEHLER(419449.79*$C$20/$C$16),TEIL(B26,1,4)&lt;&gt;"WPL:"),0,419449.79*$C$20/$C$16)</t>
  </si>
  <si>
    <t>=WENN(ODER(ISTFEHLER(L26*$C$21/N56),TEIL(B26,1,4)&lt;&gt;"WPL:"),0,L26*$C$21/N56)</t>
  </si>
  <si>
    <t>=WENN(ODER(ISTFEHLER(419449.79*$C$20),TEIL(B26,1,4)&lt;&gt;"WPL:"),0,419449.79*$C$21/N56)</t>
  </si>
  <si>
    <t xml:space="preserve">23.06.2015                    </t>
  </si>
  <si>
    <t xml:space="preserve">20.10.2025                    </t>
  </si>
  <si>
    <t>3</t>
  </si>
  <si>
    <t>REP OF AUSTRIA 0.75% 16-20/10/2026</t>
  </si>
  <si>
    <t>AT0000A1K9C8</t>
  </si>
  <si>
    <t>DEA18X6P=IXR</t>
  </si>
  <si>
    <t>=WENN(ODER(ISTFEHLER(L27*$C$20/$C$16),IDENTISCH(TEIL(B27,1,4),"WPL:")),0,L27*$C$20/$C$16)</t>
  </si>
  <si>
    <t>=WENN(ODER(ISTFEHLER(M27*$C$20/$C$16),IDENTISCH(TEIL(B27,1,4),"WPL:")),0,M27*$C$20/$C$16)</t>
  </si>
  <si>
    <t>=WENN(ODER(ISTFEHLER(N27*$C$20/$C$16),IDENTISCH(TEIL(B27,1,4),"WPL:")),0,N27*$C$20/$C$16)</t>
  </si>
  <si>
    <t>=WENN(ODER(ISTFEHLER(L27*$C$21/N56),IDENTISCH(TEIL(B27,1,4),"WPL:")),0,L27*$C$21/N56)</t>
  </si>
  <si>
    <t>=WENN(ODER(ISTFEHLER(M27*$C$21/N56),IDENTISCH(TEIL(B27,1,4),"WPL:")),0,M27*$C$21/N56)</t>
  </si>
  <si>
    <t>=WENN(ODER(ISTFEHLER(M27*$C$20),IDENTISCH(TEIL(B27,1,4),"WPL:")),0,N27*$C$21/N56)</t>
  </si>
  <si>
    <t>=WENN(ODER(ISTFEHLER(L27*$C$20/$C$16),TEIL(B27,1,4)&lt;&gt;"WPL:"),0,L27*$C$20/$C$16)</t>
  </si>
  <si>
    <t>=WENN(ODER(ISTFEHLER(1196.22*$C$21/N56),TEIL(B27,1,4)&lt;&gt;"WPL:"),0,1196.22*$C$21/N56)</t>
  </si>
  <si>
    <t>=WENN(ODER(ISTFEHLER(387941.96*$C$20/$C$16),TEIL(B27,1,4)&lt;&gt;"WPL:"),0,387941.96*$C$20/$C$16)</t>
  </si>
  <si>
    <t>=WENN(ODER(ISTFEHLER(L27*$C$21/N56),TEIL(B27,1,4)&lt;&gt;"WPL:"),0,L27*$C$21/N56)</t>
  </si>
  <si>
    <t>=WENN(ODER(ISTFEHLER(387941.96*$C$20),TEIL(B27,1,4)&lt;&gt;"WPL:"),0,387941.96*$C$21/N56)</t>
  </si>
  <si>
    <t xml:space="preserve">23.02.2016                    </t>
  </si>
  <si>
    <t xml:space="preserve">20.10.2026                    </t>
  </si>
  <si>
    <t>4</t>
  </si>
  <si>
    <t>BELGIAN 0.8% 15-22/06/2025</t>
  </si>
  <si>
    <t>BE0000334434</t>
  </si>
  <si>
    <t>DEA1ZUS1=IXR</t>
  </si>
  <si>
    <t>Belgien, Königreich</t>
  </si>
  <si>
    <t>Belgien</t>
  </si>
  <si>
    <t>=WENN(ODER(ISTFEHLER(L28*$C$20/$C$16),IDENTISCH(TEIL(B28,1,4),"WPL:")),0,L28*$C$20/$C$16)</t>
  </si>
  <si>
    <t>=WENN(ODER(ISTFEHLER(M28*$C$20/$C$16),IDENTISCH(TEIL(B28,1,4),"WPL:")),0,M28*$C$20/$C$16)</t>
  </si>
  <si>
    <t>=WENN(ODER(ISTFEHLER(N28*$C$20/$C$16),IDENTISCH(TEIL(B28,1,4),"WPL:")),0,N28*$C$20/$C$16)</t>
  </si>
  <si>
    <t>=WENN(ODER(ISTFEHLER(L28*$C$21/N56),IDENTISCH(TEIL(B28,1,4),"WPL:")),0,L28*$C$21/N56)</t>
  </si>
  <si>
    <t>=WENN(ODER(ISTFEHLER(M28*$C$21/N56),IDENTISCH(TEIL(B28,1,4),"WPL:")),0,M28*$C$21/N56)</t>
  </si>
  <si>
    <t>=WENN(ODER(ISTFEHLER(M28*$C$20),IDENTISCH(TEIL(B28,1,4),"WPL:")),0,N28*$C$21/N56)</t>
  </si>
  <si>
    <t>=WENN(ODER(ISTFEHLER(L28*$C$20/$C$16),TEIL(B28,1,4)&lt;&gt;"WPL:"),0,L28*$C$20/$C$16)</t>
  </si>
  <si>
    <t>=WENN(ODER(ISTFEHLER(3702.18*$C$21/N56),TEIL(B28,1,4)&lt;&gt;"WPL:"),0,3702.18*$C$21/N56)</t>
  </si>
  <si>
    <t>=WENN(ODER(ISTFEHLER(633257.51*$C$20/$C$16),TEIL(B28,1,4)&lt;&gt;"WPL:"),0,633257.51*$C$20/$C$16)</t>
  </si>
  <si>
    <t>=WENN(ODER(ISTFEHLER(L28*$C$21/N56),TEIL(B28,1,4)&lt;&gt;"WPL:"),0,L28*$C$21/N56)</t>
  </si>
  <si>
    <t>=WENN(ODER(ISTFEHLER(633257.51*$C$20),TEIL(B28,1,4)&lt;&gt;"WPL:"),0,633257.51*$C$21/N56)</t>
  </si>
  <si>
    <t xml:space="preserve">14.01.2015                    </t>
  </si>
  <si>
    <t xml:space="preserve">22.06.2025                    </t>
  </si>
  <si>
    <t>5</t>
  </si>
  <si>
    <t>BELGIAN 1% 16-22/06/2026</t>
  </si>
  <si>
    <t>BE0000337460</t>
  </si>
  <si>
    <t>DEA18W1U=IXR</t>
  </si>
  <si>
    <t>=WENN(ODER(ISTFEHLER(L29*$C$20/$C$16),IDENTISCH(TEIL(B29,1,4),"WPL:")),0,L29*$C$20/$C$16)</t>
  </si>
  <si>
    <t>=WENN(ODER(ISTFEHLER(M29*$C$20/$C$16),IDENTISCH(TEIL(B29,1,4),"WPL:")),0,M29*$C$20/$C$16)</t>
  </si>
  <si>
    <t>=WENN(ODER(ISTFEHLER(N29*$C$20/$C$16),IDENTISCH(TEIL(B29,1,4),"WPL:")),0,N29*$C$20/$C$16)</t>
  </si>
  <si>
    <t>=WENN(ODER(ISTFEHLER(L29*$C$21/N56),IDENTISCH(TEIL(B29,1,4),"WPL:")),0,L29*$C$21/N56)</t>
  </si>
  <si>
    <t>=WENN(ODER(ISTFEHLER(M29*$C$21/N56),IDENTISCH(TEIL(B29,1,4),"WPL:")),0,M29*$C$21/N56)</t>
  </si>
  <si>
    <t>=WENN(ODER(ISTFEHLER(M29*$C$20),IDENTISCH(TEIL(B29,1,4),"WPL:")),0,N29*$C$21/N56)</t>
  </si>
  <si>
    <t>=WENN(ODER(ISTFEHLER(L29*$C$20/$C$16),TEIL(B29,1,4)&lt;&gt;"WPL:"),0,L29*$C$20/$C$16)</t>
  </si>
  <si>
    <t>=WENN(ODER(ISTFEHLER(4046.47*$C$21/N56),TEIL(B29,1,4)&lt;&gt;"WPL:"),0,4046.47*$C$21/N56)</t>
  </si>
  <si>
    <t>=WENN(ODER(ISTFEHLER(558066.66*$C$20/$C$16),TEIL(B29,1,4)&lt;&gt;"WPL:"),0,558066.66*$C$20/$C$16)</t>
  </si>
  <si>
    <t>=WENN(ODER(ISTFEHLER(L29*$C$21/N56),TEIL(B29,1,4)&lt;&gt;"WPL:"),0,L29*$C$21/N56)</t>
  </si>
  <si>
    <t>=WENN(ODER(ISTFEHLER(558066.66*$C$20),TEIL(B29,1,4)&lt;&gt;"WPL:"),0,558066.66*$C$21/N56)</t>
  </si>
  <si>
    <t xml:space="preserve">20.01.2016                    </t>
  </si>
  <si>
    <t xml:space="preserve">22.06.2026                    </t>
  </si>
  <si>
    <t>6</t>
  </si>
  <si>
    <t>BELGIAN 0.8% 17-22/06/2027</t>
  </si>
  <si>
    <t>BE0000341504</t>
  </si>
  <si>
    <t>DEA19B7A=IXR</t>
  </si>
  <si>
    <t>=WENN(ODER(ISTFEHLER(L30*$C$20/$C$16),IDENTISCH(TEIL(B30,1,4),"WPL:")),0,L30*$C$20/$C$16)</t>
  </si>
  <si>
    <t>=WENN(ODER(ISTFEHLER(M30*$C$20/$C$16),IDENTISCH(TEIL(B30,1,4),"WPL:")),0,M30*$C$20/$C$16)</t>
  </si>
  <si>
    <t>=WENN(ODER(ISTFEHLER(N30*$C$20/$C$16),IDENTISCH(TEIL(B30,1,4),"WPL:")),0,N30*$C$20/$C$16)</t>
  </si>
  <si>
    <t>=WENN(ODER(ISTFEHLER(L30*$C$21/N56),IDENTISCH(TEIL(B30,1,4),"WPL:")),0,L30*$C$21/N56)</t>
  </si>
  <si>
    <t>=WENN(ODER(ISTFEHLER(M30*$C$21/N56),IDENTISCH(TEIL(B30,1,4),"WPL:")),0,M30*$C$21/N56)</t>
  </si>
  <si>
    <t>=WENN(ODER(ISTFEHLER(M30*$C$20),IDENTISCH(TEIL(B30,1,4),"WPL:")),0,N30*$C$21/N56)</t>
  </si>
  <si>
    <t>=WENN(ODER(ISTFEHLER(L30*$C$20/$C$16),TEIL(B30,1,4)&lt;&gt;"WPL:"),0,L30*$C$20/$C$16)</t>
  </si>
  <si>
    <t>=WENN(ODER(ISTFEHLER(277.39*$C$21/N56),TEIL(B30,1,4)&lt;&gt;"WPL:"),0,277.39*$C$21/N56)</t>
  </si>
  <si>
    <t>=WENN(ODER(ISTFEHLER(223376.68*$C$20/$C$16),TEIL(B30,1,4)&lt;&gt;"WPL:"),0,223376.68*$C$20/$C$16)</t>
  </si>
  <si>
    <t>=WENN(ODER(ISTFEHLER(L30*$C$21/N56),TEIL(B30,1,4)&lt;&gt;"WPL:"),0,L30*$C$21/N56)</t>
  </si>
  <si>
    <t>=WENN(ODER(ISTFEHLER(223376.68*$C$20),TEIL(B30,1,4)&lt;&gt;"WPL:"),0,223376.68*$C$21/N56)</t>
  </si>
  <si>
    <t xml:space="preserve">24.01.2017                    </t>
  </si>
  <si>
    <t xml:space="preserve">22.06.2027                    </t>
  </si>
  <si>
    <t>7</t>
  </si>
  <si>
    <t>DEUTSCHLAND REP 0.5% 15-15/02/2025</t>
  </si>
  <si>
    <t>DE0001102374</t>
  </si>
  <si>
    <t>DE110237=IXR</t>
  </si>
  <si>
    <t>Bundesrep.Deutschland</t>
  </si>
  <si>
    <t>Deutschland</t>
  </si>
  <si>
    <t>=WENN(ODER(ISTFEHLER(L31*$C$20/$C$16),IDENTISCH(TEIL(B31,1,4),"WPL:")),0,L31*$C$20/$C$16)</t>
  </si>
  <si>
    <t>=WENN(ODER(ISTFEHLER(M31*$C$20/$C$16),IDENTISCH(TEIL(B31,1,4),"WPL:")),0,M31*$C$20/$C$16)</t>
  </si>
  <si>
    <t>=WENN(ODER(ISTFEHLER(N31*$C$20/$C$16),IDENTISCH(TEIL(B31,1,4),"WPL:")),0,N31*$C$20/$C$16)</t>
  </si>
  <si>
    <t>=WENN(ODER(ISTFEHLER(L31*$C$21/N56),IDENTISCH(TEIL(B31,1,4),"WPL:")),0,L31*$C$21/N56)</t>
  </si>
  <si>
    <t>=WENN(ODER(ISTFEHLER(M31*$C$21/N56),IDENTISCH(TEIL(B31,1,4),"WPL:")),0,M31*$C$21/N56)</t>
  </si>
  <si>
    <t>=WENN(ODER(ISTFEHLER(M31*$C$20),IDENTISCH(TEIL(B31,1,4),"WPL:")),0,N31*$C$21/N56)</t>
  </si>
  <si>
    <t>=WENN(ODER(ISTFEHLER(L31*$C$20/$C$16),TEIL(B31,1,4)&lt;&gt;"WPL:"),0,L31*$C$20/$C$16)</t>
  </si>
  <si>
    <t>=WENN(ODER(ISTFEHLER(371.21*$C$21/N56),TEIL(B31,1,4)&lt;&gt;"WPL:"),0,371.21*$C$21/N56)</t>
  </si>
  <si>
    <t>=WENN(ODER(ISTFEHLER(822500.62*$C$20/$C$16),TEIL(B31,1,4)&lt;&gt;"WPL:"),0,822500.62*$C$20/$C$16)</t>
  </si>
  <si>
    <t>=WENN(ODER(ISTFEHLER(L31*$C$21/N56),TEIL(B31,1,4)&lt;&gt;"WPL:"),0,L31*$C$21/N56)</t>
  </si>
  <si>
    <t>=WENN(ODER(ISTFEHLER(822500.62*$C$20),TEIL(B31,1,4)&lt;&gt;"WPL:"),0,822500.62*$C$21/N56)</t>
  </si>
  <si>
    <t xml:space="preserve">16.01.2015                    </t>
  </si>
  <si>
    <t xml:space="preserve">15.02.2025                    </t>
  </si>
  <si>
    <t>8</t>
  </si>
  <si>
    <t>WPL:DEUTSCHLAND REP 0.5% 15-15/02/2025</t>
  </si>
  <si>
    <t>=WENN(ODER(ISTFEHLER(L32*$C$20/$C$16),IDENTISCH(TEIL(B32,1,4),"WPL:")),0,L32*$C$20/$C$16)</t>
  </si>
  <si>
    <t>=WENN(ODER(ISTFEHLER(M32*$C$20/$C$16),IDENTISCH(TEIL(B32,1,4),"WPL:")),0,M32*$C$20/$C$16)</t>
  </si>
  <si>
    <t>=WENN(ODER(ISTFEHLER(N32*$C$20/$C$16),IDENTISCH(TEIL(B32,1,4),"WPL:")),0,N32*$C$20/$C$16)</t>
  </si>
  <si>
    <t>=WENN(ODER(ISTFEHLER(L32*$C$21/N56),IDENTISCH(TEIL(B32,1,4),"WPL:")),0,L32*$C$21/N56)</t>
  </si>
  <si>
    <t>=WENN(ODER(ISTFEHLER(M32*$C$21/N56),IDENTISCH(TEIL(B32,1,4),"WPL:")),0,M32*$C$21/N56)</t>
  </si>
  <si>
    <t>=WENN(ODER(ISTFEHLER(M32*$C$20),IDENTISCH(TEIL(B32,1,4),"WPL:")),0,N32*$C$21/N56)</t>
  </si>
  <si>
    <t>=WENN(ODER(ISTFEHLER(L32*$C$20/$C$16),TEIL(B32,1,4)&lt;&gt;"WPL:"),0,L32*$C$20/$C$16)</t>
  </si>
  <si>
    <t>=WENN(ODER(ISTFEHLER(369.39321332059995*$C$21/N56),TEIL(B32,1,4)&lt;&gt;"WPL:"),0,369.39321332059995*$C$21/N56)</t>
  </si>
  <si>
    <t>=WENN(ODER(ISTFEHLER(818115.7267700001*$C$20/$C$16),TEIL(B32,1,4)&lt;&gt;"WPL:"),0,818115.7267700001*$C$20/$C$16)</t>
  </si>
  <si>
    <t>=WENN(ODER(ISTFEHLER(L32*$C$21/N56),TEIL(B32,1,4)&lt;&gt;"WPL:"),0,L32*$C$21/N56)</t>
  </si>
  <si>
    <t>=WENN(ODER(ISTFEHLER(818115.7267700001*$C$20),TEIL(B32,1,4)&lt;&gt;"WPL:"),0,818115.7267700001*$C$21/N56)</t>
  </si>
  <si>
    <t>9</t>
  </si>
  <si>
    <t>DEUTSCHLAND REP 1% 15-15/08/2025</t>
  </si>
  <si>
    <t>DE0001102382</t>
  </si>
  <si>
    <t>DE110238=IXR</t>
  </si>
  <si>
    <t>=WENN(ODER(ISTFEHLER(L33*$C$20/$C$16),IDENTISCH(TEIL(B33,1,4),"WPL:")),0,L33*$C$20/$C$16)</t>
  </si>
  <si>
    <t>=WENN(ODER(ISTFEHLER(M33*$C$20/$C$16),IDENTISCH(TEIL(B33,1,4),"WPL:")),0,M33*$C$20/$C$16)</t>
  </si>
  <si>
    <t>=WENN(ODER(ISTFEHLER(N33*$C$20/$C$16),IDENTISCH(TEIL(B33,1,4),"WPL:")),0,N33*$C$20/$C$16)</t>
  </si>
  <si>
    <t>=WENN(ODER(ISTFEHLER(L33*$C$21/N56),IDENTISCH(TEIL(B33,1,4),"WPL:")),0,L33*$C$21/N56)</t>
  </si>
  <si>
    <t>=WENN(ODER(ISTFEHLER(M33*$C$21/N56),IDENTISCH(TEIL(B33,1,4),"WPL:")),0,M33*$C$21/N56)</t>
  </si>
  <si>
    <t>=WENN(ODER(ISTFEHLER(M33*$C$20),IDENTISCH(TEIL(B33,1,4),"WPL:")),0,N33*$C$21/N56)</t>
  </si>
  <si>
    <t>=WENN(ODER(ISTFEHLER(L33*$C$20/$C$16),TEIL(B33,1,4)&lt;&gt;"WPL:"),0,L33*$C$20/$C$16)</t>
  </si>
  <si>
    <t>=WENN(ODER(ISTFEHLER(4760.16*$C$21/N56),TEIL(B33,1,4)&lt;&gt;"WPL:"),0,4760.16*$C$21/N56)</t>
  </si>
  <si>
    <t>=WENN(ODER(ISTFEHLER(856765.12*$C$20/$C$16),TEIL(B33,1,4)&lt;&gt;"WPL:"),0,856765.12*$C$20/$C$16)</t>
  </si>
  <si>
    <t>=WENN(ODER(ISTFEHLER(L33*$C$21/N56),TEIL(B33,1,4)&lt;&gt;"WPL:"),0,L33*$C$21/N56)</t>
  </si>
  <si>
    <t>=WENN(ODER(ISTFEHLER(856765.12*$C$20),TEIL(B33,1,4)&lt;&gt;"WPL:"),0,856765.12*$C$21/N56)</t>
  </si>
  <si>
    <t xml:space="preserve">17.07.2015                    </t>
  </si>
  <si>
    <t xml:space="preserve">15.08.2025                    </t>
  </si>
  <si>
    <t>10</t>
  </si>
  <si>
    <t>WPL:DEUTSCHLAND REP 1% 15-15/08/2025</t>
  </si>
  <si>
    <t>=WENN(ODER(ISTFEHLER(L34*$C$20/$C$16),IDENTISCH(TEIL(B34,1,4),"WPL:")),0,L34*$C$20/$C$16)</t>
  </si>
  <si>
    <t>=WENN(ODER(ISTFEHLER(M34*$C$20/$C$16),IDENTISCH(TEIL(B34,1,4),"WPL:")),0,M34*$C$20/$C$16)</t>
  </si>
  <si>
    <t>=WENN(ODER(ISTFEHLER(N34*$C$20/$C$16),IDENTISCH(TEIL(B34,1,4),"WPL:")),0,N34*$C$20/$C$16)</t>
  </si>
  <si>
    <t>=WENN(ODER(ISTFEHLER(L34*$C$21/N56),IDENTISCH(TEIL(B34,1,4),"WPL:")),0,L34*$C$21/N56)</t>
  </si>
  <si>
    <t>=WENN(ODER(ISTFEHLER(M34*$C$21/N56),IDENTISCH(TEIL(B34,1,4),"WPL:")),0,M34*$C$21/N56)</t>
  </si>
  <si>
    <t>=WENN(ODER(ISTFEHLER(M34*$C$20),IDENTISCH(TEIL(B34,1,4),"WPL:")),0,N34*$C$21/N56)</t>
  </si>
  <si>
    <t>=WENN(ODER(ISTFEHLER(L34*$C$20/$C$16),TEIL(B34,1,4)&lt;&gt;"WPL:"),0,L34*$C$20/$C$16)</t>
  </si>
  <si>
    <t>=WENN(ODER(ISTFEHLER(179.17808100000002*$C$21/N56),TEIL(B34,1,4)&lt;&gt;"WPL:"),0,179.17808100000002*$C$21/N56)</t>
  </si>
  <si>
    <t>=WENN(ODER(ISTFEHLER(32070.45*$C$20/$C$16),TEIL(B34,1,4)&lt;&gt;"WPL:"),0,32070.45*$C$20/$C$16)</t>
  </si>
  <si>
    <t>=WENN(ODER(ISTFEHLER(L34*$C$21/N56),TEIL(B34,1,4)&lt;&gt;"WPL:"),0,L34*$C$21/N56)</t>
  </si>
  <si>
    <t>=WENN(ODER(ISTFEHLER(32070.45*$C$20),TEIL(B34,1,4)&lt;&gt;"WPL:"),0,32070.45*$C$21/N56)</t>
  </si>
  <si>
    <t>11</t>
  </si>
  <si>
    <t>DEUTSCHLAND REP 0.5% 16-15/02/2026</t>
  </si>
  <si>
    <t>DE0001102390</t>
  </si>
  <si>
    <t>DE110239=IXR</t>
  </si>
  <si>
    <t>=WENN(ODER(ISTFEHLER(L35*$C$20/$C$16),IDENTISCH(TEIL(B35,1,4),"WPL:")),0,L35*$C$20/$C$16)</t>
  </si>
  <si>
    <t>=WENN(ODER(ISTFEHLER(M35*$C$20/$C$16),IDENTISCH(TEIL(B35,1,4),"WPL:")),0,M35*$C$20/$C$16)</t>
  </si>
  <si>
    <t>=WENN(ODER(ISTFEHLER(N35*$C$20/$C$16),IDENTISCH(TEIL(B35,1,4),"WPL:")),0,N35*$C$20/$C$16)</t>
  </si>
  <si>
    <t>=WENN(ODER(ISTFEHLER(L35*$C$21/N56),IDENTISCH(TEIL(B35,1,4),"WPL:")),0,L35*$C$21/N56)</t>
  </si>
  <si>
    <t>=WENN(ODER(ISTFEHLER(M35*$C$21/N56),IDENTISCH(TEIL(B35,1,4),"WPL:")),0,M35*$C$21/N56)</t>
  </si>
  <si>
    <t>=WENN(ODER(ISTFEHLER(M35*$C$20),IDENTISCH(TEIL(B35,1,4),"WPL:")),0,N35*$C$21/N56)</t>
  </si>
  <si>
    <t>=WENN(ODER(ISTFEHLER(L35*$C$20/$C$16),TEIL(B35,1,4)&lt;&gt;"WPL:"),0,L35*$C$20/$C$16)</t>
  </si>
  <si>
    <t>=WENN(ODER(ISTFEHLER(419.64*$C$21/N56),TEIL(B35,1,4)&lt;&gt;"WPL:"),0,419.64*$C$21/N56)</t>
  </si>
  <si>
    <t>=WENN(ODER(ISTFEHLER(920575.26*$C$20/$C$16),TEIL(B35,1,4)&lt;&gt;"WPL:"),0,920575.26*$C$20/$C$16)</t>
  </si>
  <si>
    <t>=WENN(ODER(ISTFEHLER(L35*$C$21/N56),TEIL(B35,1,4)&lt;&gt;"WPL:"),0,L35*$C$21/N56)</t>
  </si>
  <si>
    <t>=WENN(ODER(ISTFEHLER(920575.26*$C$20),TEIL(B35,1,4)&lt;&gt;"WPL:"),0,920575.26*$C$21/N56)</t>
  </si>
  <si>
    <t xml:space="preserve">15.01.2016                    </t>
  </si>
  <si>
    <t xml:space="preserve">15.02.2026                    </t>
  </si>
  <si>
    <t>12</t>
  </si>
  <si>
    <t>WPL:DEUTSCHLAND REP 0.5% 16-15/02/2026</t>
  </si>
  <si>
    <t>=WENN(ODER(ISTFEHLER(L36*$C$20/$C$16),IDENTISCH(TEIL(B36,1,4),"WPL:")),0,L36*$C$20/$C$16)</t>
  </si>
  <si>
    <t>=WENN(ODER(ISTFEHLER(M36*$C$20/$C$16),IDENTISCH(TEIL(B36,1,4),"WPL:")),0,M36*$C$20/$C$16)</t>
  </si>
  <si>
    <t>=WENN(ODER(ISTFEHLER(N36*$C$20/$C$16),IDENTISCH(TEIL(B36,1,4),"WPL:")),0,N36*$C$20/$C$16)</t>
  </si>
  <si>
    <t>=WENN(ODER(ISTFEHLER(L36*$C$21/N56),IDENTISCH(TEIL(B36,1,4),"WPL:")),0,L36*$C$21/N56)</t>
  </si>
  <si>
    <t>=WENN(ODER(ISTFEHLER(M36*$C$21/N56),IDENTISCH(TEIL(B36,1,4),"WPL:")),0,M36*$C$21/N56)</t>
  </si>
  <si>
    <t>=WENN(ODER(ISTFEHLER(M36*$C$20),IDENTISCH(TEIL(B36,1,4),"WPL:")),0,N36*$C$21/N56)</t>
  </si>
  <si>
    <t>=WENN(ODER(ISTFEHLER(L36*$C$20/$C$16),TEIL(B36,1,4)&lt;&gt;"WPL:"),0,L36*$C$20/$C$16)</t>
  </si>
  <si>
    <t>=WENN(ODER(ISTFEHLER(107.24530939079999*$C$21/N56),TEIL(B36,1,4)&lt;&gt;"WPL:"),0,107.24530939079999*$C$21/N56)</t>
  </si>
  <si>
    <t>=WENN(ODER(ISTFEHLER(235157.46222480002*$C$20/$C$16),TEIL(B36,1,4)&lt;&gt;"WPL:"),0,235157.46222480002*$C$20/$C$16)</t>
  </si>
  <si>
    <t>=WENN(ODER(ISTFEHLER(L36*$C$21/N56),TEIL(B36,1,4)&lt;&gt;"WPL:"),0,L36*$C$21/N56)</t>
  </si>
  <si>
    <t>=WENN(ODER(ISTFEHLER(235157.46222480002*$C$20),TEIL(B36,1,4)&lt;&gt;"WPL:"),0,235157.46222480002*$C$21/N56)</t>
  </si>
  <si>
    <t>13</t>
  </si>
  <si>
    <t>DEUTSCHLAND REP 0% 16-15/08/2026</t>
  </si>
  <si>
    <t>DE0001102408</t>
  </si>
  <si>
    <t>DE110240=IXR</t>
  </si>
  <si>
    <t>=WENN(ODER(ISTFEHLER(L37*$C$20/$C$16),IDENTISCH(TEIL(B37,1,4),"WPL:")),0,L37*$C$20/$C$16)</t>
  </si>
  <si>
    <t>=WENN(ODER(ISTFEHLER(M37*$C$20/$C$16),IDENTISCH(TEIL(B37,1,4),"WPL:")),0,M37*$C$20/$C$16)</t>
  </si>
  <si>
    <t>=WENN(ODER(ISTFEHLER(N37*$C$20/$C$16),IDENTISCH(TEIL(B37,1,4),"WPL:")),0,N37*$C$20/$C$16)</t>
  </si>
  <si>
    <t>=WENN(ODER(ISTFEHLER(L37*$C$21/N56),IDENTISCH(TEIL(B37,1,4),"WPL:")),0,L37*$C$21/N56)</t>
  </si>
  <si>
    <t>=WENN(ODER(ISTFEHLER(M37*$C$21/N56),IDENTISCH(TEIL(B37,1,4),"WPL:")),0,M37*$C$21/N56)</t>
  </si>
  <si>
    <t>=WENN(ODER(ISTFEHLER(M37*$C$20),IDENTISCH(TEIL(B37,1,4),"WPL:")),0,N37*$C$21/N56)</t>
  </si>
  <si>
    <t>=WENN(ODER(ISTFEHLER(L37*$C$20/$C$16),TEIL(B37,1,4)&lt;&gt;"WPL:"),0,L37*$C$20/$C$16)</t>
  </si>
  <si>
    <t>=WENN(ODER(ISTFEHLER(0*$C$21/N56),TEIL(B37,1,4)&lt;&gt;"WPL:"),0,0*$C$21/N56)</t>
  </si>
  <si>
    <t>=WENN(ODER(ISTFEHLER(837101.58*$C$20/$C$16),TEIL(B37,1,4)&lt;&gt;"WPL:"),0,837101.58*$C$20/$C$16)</t>
  </si>
  <si>
    <t>=WENN(ODER(ISTFEHLER(L37*$C$21/N56),TEIL(B37,1,4)&lt;&gt;"WPL:"),0,L37*$C$21/N56)</t>
  </si>
  <si>
    <t>=WENN(ODER(ISTFEHLER(837101.58*$C$20),TEIL(B37,1,4)&lt;&gt;"WPL:"),0,837101.58*$C$21/N56)</t>
  </si>
  <si>
    <t xml:space="preserve">15.07.2016                    </t>
  </si>
  <si>
    <t xml:space="preserve">15.08.2026                    </t>
  </si>
  <si>
    <t>14</t>
  </si>
  <si>
    <t>WPL:DEUTSCHLAND REP 0% 16-15/08/2026</t>
  </si>
  <si>
    <t>=WENN(ODER(ISTFEHLER(L38*$C$20/$C$16),IDENTISCH(TEIL(B38,1,4),"WPL:")),0,L38*$C$20/$C$16)</t>
  </si>
  <si>
    <t>=WENN(ODER(ISTFEHLER(M38*$C$20/$C$16),IDENTISCH(TEIL(B38,1,4),"WPL:")),0,M38*$C$20/$C$16)</t>
  </si>
  <si>
    <t>=WENN(ODER(ISTFEHLER(N38*$C$20/$C$16),IDENTISCH(TEIL(B38,1,4),"WPL:")),0,N38*$C$20/$C$16)</t>
  </si>
  <si>
    <t>=WENN(ODER(ISTFEHLER(L38*$C$21/N56),IDENTISCH(TEIL(B38,1,4),"WPL:")),0,L38*$C$21/N56)</t>
  </si>
  <si>
    <t>=WENN(ODER(ISTFEHLER(M38*$C$21/N56),IDENTISCH(TEIL(B38,1,4),"WPL:")),0,M38*$C$21/N56)</t>
  </si>
  <si>
    <t>=WENN(ODER(ISTFEHLER(M38*$C$20),IDENTISCH(TEIL(B38,1,4),"WPL:")),0,N38*$C$21/N56)</t>
  </si>
  <si>
    <t>=WENN(ODER(ISTFEHLER(L38*$C$20/$C$16),TEIL(B38,1,4)&lt;&gt;"WPL:"),0,L38*$C$20/$C$16)</t>
  </si>
  <si>
    <t>=WENN(ODER(ISTFEHLER(0*$C$21/N56),TEIL(B38,1,4)&lt;&gt;"WPL:"),0,0*$C$21/N56)</t>
  </si>
  <si>
    <t>=WENN(ODER(ISTFEHLER(481128.48294*$C$20/$C$16),TEIL(B38,1,4)&lt;&gt;"WPL:"),0,481128.48294*$C$20/$C$16)</t>
  </si>
  <si>
    <t>=WENN(ODER(ISTFEHLER(L38*$C$21/N56),TEIL(B38,1,4)&lt;&gt;"WPL:"),0,L38*$C$21/N56)</t>
  </si>
  <si>
    <t>=WENN(ODER(ISTFEHLER(481128.48294*$C$20),TEIL(B38,1,4)&lt;&gt;"WPL:"),0,481128.48294*$C$21/N56)</t>
  </si>
  <si>
    <t>15</t>
  </si>
  <si>
    <t>SPANISH GOVT 2.75% 14-31/10/2024</t>
  </si>
  <si>
    <t>ES00000126B2</t>
  </si>
  <si>
    <t>DEA1ZKWJ=IXR</t>
  </si>
  <si>
    <t>Spanien</t>
  </si>
  <si>
    <t>=WENN(ODER(ISTFEHLER(L39*$C$20/$C$16),IDENTISCH(TEIL(B39,1,4),"WPL:")),0,L39*$C$20/$C$16)</t>
  </si>
  <si>
    <t>=WENN(ODER(ISTFEHLER(M39*$C$20/$C$16),IDENTISCH(TEIL(B39,1,4),"WPL:")),0,M39*$C$20/$C$16)</t>
  </si>
  <si>
    <t>=WENN(ODER(ISTFEHLER(N39*$C$20/$C$16),IDENTISCH(TEIL(B39,1,4),"WPL:")),0,N39*$C$20/$C$16)</t>
  </si>
  <si>
    <t>=WENN(ODER(ISTFEHLER(L39*$C$21/N56),IDENTISCH(TEIL(B39,1,4),"WPL:")),0,L39*$C$21/N56)</t>
  </si>
  <si>
    <t>=WENN(ODER(ISTFEHLER(M39*$C$21/N56),IDENTISCH(TEIL(B39,1,4),"WPL:")),0,M39*$C$21/N56)</t>
  </si>
  <si>
    <t>=WENN(ODER(ISTFEHLER(M39*$C$20),IDENTISCH(TEIL(B39,1,4),"WPL:")),0,N39*$C$21/N56)</t>
  </si>
  <si>
    <t>=WENN(ODER(ISTFEHLER(L39*$C$20/$C$16),TEIL(B39,1,4)&lt;&gt;"WPL:"),0,L39*$C$20/$C$16)</t>
  </si>
  <si>
    <t>=WENN(ODER(ISTFEHLER(8859.82*$C$21/N56),TEIL(B39,1,4)&lt;&gt;"WPL:"),0,8859.82*$C$21/N56)</t>
  </si>
  <si>
    <t>=WENN(ODER(ISTFEHLER(923049.67*$C$20/$C$16),TEIL(B39,1,4)&lt;&gt;"WPL:"),0,923049.67*$C$20/$C$16)</t>
  </si>
  <si>
    <t>=WENN(ODER(ISTFEHLER(L39*$C$21/N56),TEIL(B39,1,4)&lt;&gt;"WPL:"),0,L39*$C$21/N56)</t>
  </si>
  <si>
    <t>=WENN(ODER(ISTFEHLER(923049.67*$C$20),TEIL(B39,1,4)&lt;&gt;"WPL:"),0,923049.67*$C$21/N56)</t>
  </si>
  <si>
    <t xml:space="preserve">20.06.2014                    </t>
  </si>
  <si>
    <t xml:space="preserve">31.10.2024                    </t>
  </si>
  <si>
    <t>16</t>
  </si>
  <si>
    <t>SPANISH GOVT 1.6% 15-30/04/2025</t>
  </si>
  <si>
    <t>ES00000126Z1</t>
  </si>
  <si>
    <t>DEA1ZVCP=IXR</t>
  </si>
  <si>
    <t>=WENN(ODER(ISTFEHLER(L40*$C$20/$C$16),IDENTISCH(TEIL(B40,1,4),"WPL:")),0,L40*$C$20/$C$16)</t>
  </si>
  <si>
    <t>=WENN(ODER(ISTFEHLER(M40*$C$20/$C$16),IDENTISCH(TEIL(B40,1,4),"WPL:")),0,M40*$C$20/$C$16)</t>
  </si>
  <si>
    <t>=WENN(ODER(ISTFEHLER(N40*$C$20/$C$16),IDENTISCH(TEIL(B40,1,4),"WPL:")),0,N40*$C$20/$C$16)</t>
  </si>
  <si>
    <t>=WENN(ODER(ISTFEHLER(L40*$C$21/N56),IDENTISCH(TEIL(B40,1,4),"WPL:")),0,L40*$C$21/N56)</t>
  </si>
  <si>
    <t>=WENN(ODER(ISTFEHLER(M40*$C$21/N56),IDENTISCH(TEIL(B40,1,4),"WPL:")),0,M40*$C$21/N56)</t>
  </si>
  <si>
    <t>=WENN(ODER(ISTFEHLER(M40*$C$20),IDENTISCH(TEIL(B40,1,4),"WPL:")),0,N40*$C$21/N56)</t>
  </si>
  <si>
    <t>=WENN(ODER(ISTFEHLER(L40*$C$20/$C$16),TEIL(B40,1,4)&lt;&gt;"WPL:"),0,L40*$C$20/$C$16)</t>
  </si>
  <si>
    <t>=WENN(ODER(ISTFEHLER(10442.74*$C$21/N56),TEIL(B40,1,4)&lt;&gt;"WPL:"),0,10442.74*$C$21/N56)</t>
  </si>
  <si>
    <t>=WENN(ODER(ISTFEHLER(747877.39*$C$20/$C$16),TEIL(B40,1,4)&lt;&gt;"WPL:"),0,747877.39*$C$20/$C$16)</t>
  </si>
  <si>
    <t>=WENN(ODER(ISTFEHLER(L40*$C$21/N56),TEIL(B40,1,4)&lt;&gt;"WPL:"),0,L40*$C$21/N56)</t>
  </si>
  <si>
    <t>=WENN(ODER(ISTFEHLER(747877.39*$C$20),TEIL(B40,1,4)&lt;&gt;"WPL:"),0,747877.39*$C$21/N56)</t>
  </si>
  <si>
    <t xml:space="preserve">27.01.2015                    </t>
  </si>
  <si>
    <t xml:space="preserve">30.04.2025                    </t>
  </si>
  <si>
    <t>17</t>
  </si>
  <si>
    <t>SPANISH GOVT 2.15% 15-31/10/2025</t>
  </si>
  <si>
    <t>ES00000127G9</t>
  </si>
  <si>
    <t>DEA1Z2RV=IXR</t>
  </si>
  <si>
    <t>=WENN(ODER(ISTFEHLER(L41*$C$20/$C$16),IDENTISCH(TEIL(B41,1,4),"WPL:")),0,L41*$C$20/$C$16)</t>
  </si>
  <si>
    <t>=WENN(ODER(ISTFEHLER(M41*$C$20/$C$16),IDENTISCH(TEIL(B41,1,4),"WPL:")),0,M41*$C$20/$C$16)</t>
  </si>
  <si>
    <t>=WENN(ODER(ISTFEHLER(N41*$C$20/$C$16),IDENTISCH(TEIL(B41,1,4),"WPL:")),0,N41*$C$20/$C$16)</t>
  </si>
  <si>
    <t>=WENN(ODER(ISTFEHLER(L41*$C$21/N56),IDENTISCH(TEIL(B41,1,4),"WPL:")),0,L41*$C$21/N56)</t>
  </si>
  <si>
    <t>=WENN(ODER(ISTFEHLER(M41*$C$21/N56),IDENTISCH(TEIL(B41,1,4),"WPL:")),0,M41*$C$21/N56)</t>
  </si>
  <si>
    <t>=WENN(ODER(ISTFEHLER(M41*$C$20),IDENTISCH(TEIL(B41,1,4),"WPL:")),0,N41*$C$21/N56)</t>
  </si>
  <si>
    <t>=WENN(ODER(ISTFEHLER(L41*$C$20/$C$16),TEIL(B41,1,4)&lt;&gt;"WPL:"),0,L41*$C$20/$C$16)</t>
  </si>
  <si>
    <t>=WENN(ODER(ISTFEHLER(6478.27*$C$21/N56),TEIL(B41,1,4)&lt;&gt;"WPL:"),0,6478.27*$C$21/N56)</t>
  </si>
  <si>
    <t>=WENN(ODER(ISTFEHLER(816983.6*$C$20/$C$16),TEIL(B41,1,4)&lt;&gt;"WPL:"),0,816983.6*$C$20/$C$16)</t>
  </si>
  <si>
    <t>=WENN(ODER(ISTFEHLER(L41*$C$21/N56),TEIL(B41,1,4)&lt;&gt;"WPL:"),0,L41*$C$21/N56)</t>
  </si>
  <si>
    <t>=WENN(ODER(ISTFEHLER(816983.6*$C$20),TEIL(B41,1,4)&lt;&gt;"WPL:"),0,816983.6*$C$21/N56)</t>
  </si>
  <si>
    <t xml:space="preserve">09.06.2015                    </t>
  </si>
  <si>
    <t xml:space="preserve">31.10.2025                    </t>
  </si>
  <si>
    <t>18</t>
  </si>
  <si>
    <t>SPANISH GOVT 1.95% 16-30/04/2026</t>
  </si>
  <si>
    <t>ES00000127Z9</t>
  </si>
  <si>
    <t>DEA18W1C=IXR</t>
  </si>
  <si>
    <t>=WENN(ODER(ISTFEHLER(L42*$C$20/$C$16),IDENTISCH(TEIL(B42,1,4),"WPL:")),0,L42*$C$20/$C$16)</t>
  </si>
  <si>
    <t>=WENN(ODER(ISTFEHLER(M42*$C$20/$C$16),IDENTISCH(TEIL(B42,1,4),"WPL:")),0,M42*$C$20/$C$16)</t>
  </si>
  <si>
    <t>=WENN(ODER(ISTFEHLER(N42*$C$20/$C$16),IDENTISCH(TEIL(B42,1,4),"WPL:")),0,N42*$C$20/$C$16)</t>
  </si>
  <si>
    <t>=WENN(ODER(ISTFEHLER(L42*$C$21/N56),IDENTISCH(TEIL(B42,1,4),"WPL:")),0,L42*$C$21/N56)</t>
  </si>
  <si>
    <t>=WENN(ODER(ISTFEHLER(M42*$C$21/N56),IDENTISCH(TEIL(B42,1,4),"WPL:")),0,M42*$C$21/N56)</t>
  </si>
  <si>
    <t>=WENN(ODER(ISTFEHLER(M42*$C$20),IDENTISCH(TEIL(B42,1,4),"WPL:")),0,N42*$C$21/N56)</t>
  </si>
  <si>
    <t>=WENN(ODER(ISTFEHLER(L42*$C$20/$C$16),TEIL(B42,1,4)&lt;&gt;"WPL:"),0,L42*$C$20/$C$16)</t>
  </si>
  <si>
    <t>=WENN(ODER(ISTFEHLER(12848.63*$C$21/N56),TEIL(B42,1,4)&lt;&gt;"WPL:"),0,12848.63*$C$21/N56)</t>
  </si>
  <si>
    <t>=WENN(ODER(ISTFEHLER(766299.09*$C$20/$C$16),TEIL(B42,1,4)&lt;&gt;"WPL:"),0,766299.09*$C$20/$C$16)</t>
  </si>
  <si>
    <t>=WENN(ODER(ISTFEHLER(L42*$C$21/N56),TEIL(B42,1,4)&lt;&gt;"WPL:"),0,L42*$C$21/N56)</t>
  </si>
  <si>
    <t>=WENN(ODER(ISTFEHLER(766299.09*$C$20),TEIL(B42,1,4)&lt;&gt;"WPL:"),0,766299.09*$C$21/N56)</t>
  </si>
  <si>
    <t xml:space="preserve">19.01.2016                    </t>
  </si>
  <si>
    <t xml:space="preserve">30.04.2026                    </t>
  </si>
  <si>
    <t>19</t>
  </si>
  <si>
    <t>FRANCE O.A.T. 1.75% 14-25/11/2024</t>
  </si>
  <si>
    <t>FR0011962398</t>
  </si>
  <si>
    <t>DEA1ZKFM=IXR</t>
  </si>
  <si>
    <t>Frankreich</t>
  </si>
  <si>
    <t>=WENN(ODER(ISTFEHLER(L43*$C$20/$C$16),IDENTISCH(TEIL(B43,1,4),"WPL:")),0,L43*$C$20/$C$16)</t>
  </si>
  <si>
    <t>=WENN(ODER(ISTFEHLER(M43*$C$20/$C$16),IDENTISCH(TEIL(B43,1,4),"WPL:")),0,M43*$C$20/$C$16)</t>
  </si>
  <si>
    <t>=WENN(ODER(ISTFEHLER(N43*$C$20/$C$16),IDENTISCH(TEIL(B43,1,4),"WPL:")),0,N43*$C$20/$C$16)</t>
  </si>
  <si>
    <t>=WENN(ODER(ISTFEHLER(L43*$C$21/N56),IDENTISCH(TEIL(B43,1,4),"WPL:")),0,L43*$C$21/N56)</t>
  </si>
  <si>
    <t>=WENN(ODER(ISTFEHLER(M43*$C$21/N56),IDENTISCH(TEIL(B43,1,4),"WPL:")),0,M43*$C$21/N56)</t>
  </si>
  <si>
    <t>=WENN(ODER(ISTFEHLER(M43*$C$20),IDENTISCH(TEIL(B43,1,4),"WPL:")),0,N43*$C$21/N56)</t>
  </si>
  <si>
    <t>=WENN(ODER(ISTFEHLER(L43*$C$20/$C$16),TEIL(B43,1,4)&lt;&gt;"WPL:"),0,L43*$C$20/$C$16)</t>
  </si>
  <si>
    <t>=WENN(ODER(ISTFEHLER(4916.49*$C$21/N56),TEIL(B43,1,4)&lt;&gt;"WPL:"),0,4916.49*$C$21/N56)</t>
  </si>
  <si>
    <t>=WENN(ODER(ISTFEHLER(955272.45*$C$20/$C$16),TEIL(B43,1,4)&lt;&gt;"WPL:"),0,955272.45*$C$20/$C$16)</t>
  </si>
  <si>
    <t>=WENN(ODER(ISTFEHLER(L43*$C$21/N56),TEIL(B43,1,4)&lt;&gt;"WPL:"),0,L43*$C$21/N56)</t>
  </si>
  <si>
    <t>=WENN(ODER(ISTFEHLER(955272.45*$C$20),TEIL(B43,1,4)&lt;&gt;"WPL:"),0,955272.45*$C$21/N56)</t>
  </si>
  <si>
    <t xml:space="preserve">10.06.2014                    </t>
  </si>
  <si>
    <t xml:space="preserve">25.11.2024                    </t>
  </si>
  <si>
    <t>20</t>
  </si>
  <si>
    <t>FRANCE O.A.T. 0.5% 15-25/05/2025</t>
  </si>
  <si>
    <t>FR0012517027</t>
  </si>
  <si>
    <t>DEA1ZVTR=IXR</t>
  </si>
  <si>
    <t>=WENN(ODER(ISTFEHLER(L44*$C$20/$C$16),IDENTISCH(TEIL(B44,1,4),"WPL:")),0,L44*$C$20/$C$16)</t>
  </si>
  <si>
    <t>=WENN(ODER(ISTFEHLER(M44*$C$20/$C$16),IDENTISCH(TEIL(B44,1,4),"WPL:")),0,M44*$C$20/$C$16)</t>
  </si>
  <si>
    <t>=WENN(ODER(ISTFEHLER(N44*$C$20/$C$16),IDENTISCH(TEIL(B44,1,4),"WPL:")),0,N44*$C$20/$C$16)</t>
  </si>
  <si>
    <t>=WENN(ODER(ISTFEHLER(L44*$C$21/N56),IDENTISCH(TEIL(B44,1,4),"WPL:")),0,L44*$C$21/N56)</t>
  </si>
  <si>
    <t>=WENN(ODER(ISTFEHLER(M44*$C$21/N56),IDENTISCH(TEIL(B44,1,4),"WPL:")),0,M44*$C$21/N56)</t>
  </si>
  <si>
    <t>=WENN(ODER(ISTFEHLER(M44*$C$20),IDENTISCH(TEIL(B44,1,4),"WPL:")),0,N44*$C$21/N56)</t>
  </si>
  <si>
    <t>=WENN(ODER(ISTFEHLER(L44*$C$20/$C$16),TEIL(B44,1,4)&lt;&gt;"WPL:"),0,L44*$C$20/$C$16)</t>
  </si>
  <si>
    <t>=WENN(ODER(ISTFEHLER(3949.32*$C$21/N56),TEIL(B44,1,4)&lt;&gt;"WPL:"),0,3949.32*$C$21/N56)</t>
  </si>
  <si>
    <t>=WENN(ODER(ISTFEHLER(939095.25*$C$20/$C$16),TEIL(B44,1,4)&lt;&gt;"WPL:"),0,939095.25*$C$20/$C$16)</t>
  </si>
  <si>
    <t>=WENN(ODER(ISTFEHLER(L44*$C$21/N56),TEIL(B44,1,4)&lt;&gt;"WPL:"),0,L44*$C$21/N56)</t>
  </si>
  <si>
    <t>=WENN(ODER(ISTFEHLER(939095.25*$C$20),TEIL(B44,1,4)&lt;&gt;"WPL:"),0,939095.25*$C$21/N56)</t>
  </si>
  <si>
    <t xml:space="preserve">09.02.2015                    </t>
  </si>
  <si>
    <t xml:space="preserve">25.05.2025                    </t>
  </si>
  <si>
    <t>21</t>
  </si>
  <si>
    <t>FRANCE O.A.T. 1% 15-25/11/2025</t>
  </si>
  <si>
    <t>FR0012938116</t>
  </si>
  <si>
    <t>DEA1Z56L=IXR</t>
  </si>
  <si>
    <t>=WENN(ODER(ISTFEHLER(L45*$C$20/$C$16),IDENTISCH(TEIL(B45,1,4),"WPL:")),0,L45*$C$20/$C$16)</t>
  </si>
  <si>
    <t>=WENN(ODER(ISTFEHLER(M45*$C$20/$C$16),IDENTISCH(TEIL(B45,1,4),"WPL:")),0,M45*$C$20/$C$16)</t>
  </si>
  <si>
    <t>=WENN(ODER(ISTFEHLER(N45*$C$20/$C$16),IDENTISCH(TEIL(B45,1,4),"WPL:")),0,N45*$C$20/$C$16)</t>
  </si>
  <si>
    <t>=WENN(ODER(ISTFEHLER(L45*$C$21/N56),IDENTISCH(TEIL(B45,1,4),"WPL:")),0,L45*$C$21/N56)</t>
  </si>
  <si>
    <t>=WENN(ODER(ISTFEHLER(M45*$C$21/N56),IDENTISCH(TEIL(B45,1,4),"WPL:")),0,M45*$C$21/N56)</t>
  </si>
  <si>
    <t>=WENN(ODER(ISTFEHLER(M45*$C$20),IDENTISCH(TEIL(B45,1,4),"WPL:")),0,N45*$C$21/N56)</t>
  </si>
  <si>
    <t>=WENN(ODER(ISTFEHLER(L45*$C$20/$C$16),TEIL(B45,1,4)&lt;&gt;"WPL:"),0,L45*$C$20/$C$16)</t>
  </si>
  <si>
    <t>=WENN(ODER(ISTFEHLER(2377.21*$C$21/N56),TEIL(B45,1,4)&lt;&gt;"WPL:"),0,2377.21*$C$21/N56)</t>
  </si>
  <si>
    <t>=WENN(ODER(ISTFEHLER(754741.79*$C$20/$C$16),TEIL(B45,1,4)&lt;&gt;"WPL:"),0,754741.79*$C$20/$C$16)</t>
  </si>
  <si>
    <t>=WENN(ODER(ISTFEHLER(L45*$C$21/N56),TEIL(B45,1,4)&lt;&gt;"WPL:"),0,L45*$C$21/N56)</t>
  </si>
  <si>
    <t>=WENN(ODER(ISTFEHLER(754741.79*$C$20),TEIL(B45,1,4)&lt;&gt;"WPL:"),0,754741.79*$C$21/N56)</t>
  </si>
  <si>
    <t xml:space="preserve">07.09.2015                    </t>
  </si>
  <si>
    <t xml:space="preserve">25.11.2025                    </t>
  </si>
  <si>
    <t>22</t>
  </si>
  <si>
    <t>FRANCE O.A.T. 0.5% 16-25/05/2026</t>
  </si>
  <si>
    <t>FR0013131877</t>
  </si>
  <si>
    <t>DEA18YPD=IXR</t>
  </si>
  <si>
    <t>=WENN(ODER(ISTFEHLER(L46*$C$20/$C$16),IDENTISCH(TEIL(B46,1,4),"WPL:")),0,L46*$C$20/$C$16)</t>
  </si>
  <si>
    <t>=WENN(ODER(ISTFEHLER(M46*$C$20/$C$16),IDENTISCH(TEIL(B46,1,4),"WPL:")),0,M46*$C$20/$C$16)</t>
  </si>
  <si>
    <t>=WENN(ODER(ISTFEHLER(N46*$C$20/$C$16),IDENTISCH(TEIL(B46,1,4),"WPL:")),0,N46*$C$20/$C$16)</t>
  </si>
  <si>
    <t>=WENN(ODER(ISTFEHLER(L46*$C$21/N56),IDENTISCH(TEIL(B46,1,4),"WPL:")),0,L46*$C$21/N56)</t>
  </si>
  <si>
    <t>=WENN(ODER(ISTFEHLER(M46*$C$21/N56),IDENTISCH(TEIL(B46,1,4),"WPL:")),0,M46*$C$21/N56)</t>
  </si>
  <si>
    <t>=WENN(ODER(ISTFEHLER(M46*$C$20),IDENTISCH(TEIL(B46,1,4),"WPL:")),0,N46*$C$21/N56)</t>
  </si>
  <si>
    <t>=WENN(ODER(ISTFEHLER(L46*$C$20/$C$16),TEIL(B46,1,4)&lt;&gt;"WPL:"),0,L46*$C$20/$C$16)</t>
  </si>
  <si>
    <t>=WENN(ODER(ISTFEHLER(3308.22*$C$21/N56),TEIL(B46,1,4)&lt;&gt;"WPL:"),0,3308.22*$C$21/N56)</t>
  </si>
  <si>
    <t>=WENN(ODER(ISTFEHLER(771449.93*$C$20/$C$16),TEIL(B46,1,4)&lt;&gt;"WPL:"),0,771449.93*$C$20/$C$16)</t>
  </si>
  <si>
    <t>=WENN(ODER(ISTFEHLER(L46*$C$21/N56),TEIL(B46,1,4)&lt;&gt;"WPL:"),0,L46*$C$21/N56)</t>
  </si>
  <si>
    <t>=WENN(ODER(ISTFEHLER(771449.93*$C$20),TEIL(B46,1,4)&lt;&gt;"WPL:"),0,771449.93*$C$21/N56)</t>
  </si>
  <si>
    <t xml:space="preserve">07.03.2016                    </t>
  </si>
  <si>
    <t xml:space="preserve">25.05.2026                    </t>
  </si>
  <si>
    <t>23</t>
  </si>
  <si>
    <t>IRISH GOVT 1% 16-15/05/2026</t>
  </si>
  <si>
    <t>IE00BV8C9418</t>
  </si>
  <si>
    <t>DEA18WS0=IXR</t>
  </si>
  <si>
    <t>Irland</t>
  </si>
  <si>
    <t>=WENN(ODER(ISTFEHLER(L47*$C$20/$C$16),IDENTISCH(TEIL(B47,1,4),"WPL:")),0,L47*$C$20/$C$16)</t>
  </si>
  <si>
    <t>=WENN(ODER(ISTFEHLER(M47*$C$20/$C$16),IDENTISCH(TEIL(B47,1,4),"WPL:")),0,M47*$C$20/$C$16)</t>
  </si>
  <si>
    <t>=WENN(ODER(ISTFEHLER(N47*$C$20/$C$16),IDENTISCH(TEIL(B47,1,4),"WPL:")),0,N47*$C$20/$C$16)</t>
  </si>
  <si>
    <t>=WENN(ODER(ISTFEHLER(L47*$C$21/N56),IDENTISCH(TEIL(B47,1,4),"WPL:")),0,L47*$C$21/N56)</t>
  </si>
  <si>
    <t>=WENN(ODER(ISTFEHLER(M47*$C$21/N56),IDENTISCH(TEIL(B47,1,4),"WPL:")),0,M47*$C$21/N56)</t>
  </si>
  <si>
    <t>=WENN(ODER(ISTFEHLER(M47*$C$20),IDENTISCH(TEIL(B47,1,4),"WPL:")),0,N47*$C$21/N56)</t>
  </si>
  <si>
    <t>=WENN(ODER(ISTFEHLER(L47*$C$20/$C$16),TEIL(B47,1,4)&lt;&gt;"WPL:"),0,L47*$C$20/$C$16)</t>
  </si>
  <si>
    <t>=WENN(ODER(ISTFEHLER(2174.25*$C$21/N56),TEIL(B47,1,4)&lt;&gt;"WPL:"),0,2174.25*$C$21/N56)</t>
  </si>
  <si>
    <t>=WENN(ODER(ISTFEHLER(255004.33*$C$20/$C$16),TEIL(B47,1,4)&lt;&gt;"WPL:"),0,255004.33*$C$20/$C$16)</t>
  </si>
  <si>
    <t>=WENN(ODER(ISTFEHLER(L47*$C$21/N56),TEIL(B47,1,4)&lt;&gt;"WPL:"),0,L47*$C$21/N56)</t>
  </si>
  <si>
    <t>=WENN(ODER(ISTFEHLER(255004.33*$C$20),TEIL(B47,1,4)&lt;&gt;"WPL:"),0,255004.33*$C$21/N56)</t>
  </si>
  <si>
    <t xml:space="preserve">14.01.2016                    </t>
  </si>
  <si>
    <t xml:space="preserve">15.05.2026                    </t>
  </si>
  <si>
    <t>24</t>
  </si>
  <si>
    <t>ITALY BTPS 3.75% 14-01/09/2024</t>
  </si>
  <si>
    <t>IT0005001547</t>
  </si>
  <si>
    <t>DEA1ZD9K=IXR</t>
  </si>
  <si>
    <t>Italien, Republik</t>
  </si>
  <si>
    <t>Italien</t>
  </si>
  <si>
    <t>=WENN(ODER(ISTFEHLER(L48*$C$20/$C$16),IDENTISCH(TEIL(B48,1,4),"WPL:")),0,L48*$C$20/$C$16)</t>
  </si>
  <si>
    <t>=WENN(ODER(ISTFEHLER(M48*$C$20/$C$16),IDENTISCH(TEIL(B48,1,4),"WPL:")),0,M48*$C$20/$C$16)</t>
  </si>
  <si>
    <t>=WENN(ODER(ISTFEHLER(N48*$C$20/$C$16),IDENTISCH(TEIL(B48,1,4),"WPL:")),0,N48*$C$20/$C$16)</t>
  </si>
  <si>
    <t>=WENN(ODER(ISTFEHLER(L48*$C$21/N56),IDENTISCH(TEIL(B48,1,4),"WPL:")),0,L48*$C$21/N56)</t>
  </si>
  <si>
    <t>=WENN(ODER(ISTFEHLER(M48*$C$21/N56),IDENTISCH(TEIL(B48,1,4),"WPL:")),0,M48*$C$21/N56)</t>
  </si>
  <si>
    <t>=WENN(ODER(ISTFEHLER(M48*$C$20),IDENTISCH(TEIL(B48,1,4),"WPL:")),0,N48*$C$21/N56)</t>
  </si>
  <si>
    <t>=WENN(ODER(ISTFEHLER(L48*$C$20/$C$16),TEIL(B48,1,4)&lt;&gt;"WPL:"),0,L48*$C$20/$C$16)</t>
  </si>
  <si>
    <t>=WENN(ODER(ISTFEHLER(1524.42*$C$21/N56),TEIL(B48,1,4)&lt;&gt;"WPL:"),0,1524.42*$C$21/N56)</t>
  </si>
  <si>
    <t>=WENN(ODER(ISTFEHLER(837001.75*$C$20/$C$16),TEIL(B48,1,4)&lt;&gt;"WPL:"),0,837001.75*$C$20/$C$16)</t>
  </si>
  <si>
    <t>=WENN(ODER(ISTFEHLER(L48*$C$21/N56),TEIL(B48,1,4)&lt;&gt;"WPL:"),0,L48*$C$21/N56)</t>
  </si>
  <si>
    <t>=WENN(ODER(ISTFEHLER(837001.75*$C$20),TEIL(B48,1,4)&lt;&gt;"WPL:"),0,837001.75*$C$21/N56)</t>
  </si>
  <si>
    <t xml:space="preserve">03.03.2014                    </t>
  </si>
  <si>
    <t xml:space="preserve">01.09.2024                    </t>
  </si>
  <si>
    <t>25</t>
  </si>
  <si>
    <t>ITALY BTPS  2.5% 14-01/12/2024</t>
  </si>
  <si>
    <t>IT0005045270</t>
  </si>
  <si>
    <t>DEA1ZN0X=IXR</t>
  </si>
  <si>
    <t>=WENN(ODER(ISTFEHLER(L49*$C$20/$C$16),IDENTISCH(TEIL(B49,1,4),"WPL:")),0,L49*$C$20/$C$16)</t>
  </si>
  <si>
    <t>=WENN(ODER(ISTFEHLER(M49*$C$20/$C$16),IDENTISCH(TEIL(B49,1,4),"WPL:")),0,M49*$C$20/$C$16)</t>
  </si>
  <si>
    <t>=WENN(ODER(ISTFEHLER(N49*$C$20/$C$16),IDENTISCH(TEIL(B49,1,4),"WPL:")),0,N49*$C$20/$C$16)</t>
  </si>
  <si>
    <t>=WENN(ODER(ISTFEHLER(L49*$C$21/N56),IDENTISCH(TEIL(B49,1,4),"WPL:")),0,L49*$C$21/N56)</t>
  </si>
  <si>
    <t>=WENN(ODER(ISTFEHLER(M49*$C$21/N56),IDENTISCH(TEIL(B49,1,4),"WPL:")),0,M49*$C$21/N56)</t>
  </si>
  <si>
    <t>=WENN(ODER(ISTFEHLER(M49*$C$20),IDENTISCH(TEIL(B49,1,4),"WPL:")),0,N49*$C$21/N56)</t>
  </si>
  <si>
    <t>=WENN(ODER(ISTFEHLER(L49*$C$20/$C$16),TEIL(B49,1,4)&lt;&gt;"WPL:"),0,L49*$C$20/$C$16)</t>
  </si>
  <si>
    <t>=WENN(ODER(ISTFEHLER(5809.72*$C$21/N56),TEIL(B49,1,4)&lt;&gt;"WPL:"),0,5809.72*$C$21/N56)</t>
  </si>
  <si>
    <t>=WENN(ODER(ISTFEHLER(796962.53*$C$20/$C$16),TEIL(B49,1,4)&lt;&gt;"WPL:"),0,796962.53*$C$20/$C$16)</t>
  </si>
  <si>
    <t>=WENN(ODER(ISTFEHLER(L49*$C$21/N56),TEIL(B49,1,4)&lt;&gt;"WPL:"),0,L49*$C$21/N56)</t>
  </si>
  <si>
    <t>=WENN(ODER(ISTFEHLER(796962.53*$C$20),TEIL(B49,1,4)&lt;&gt;"WPL:"),0,796962.53*$C$21/N56)</t>
  </si>
  <si>
    <t xml:space="preserve">01.09.2014                    </t>
  </si>
  <si>
    <t xml:space="preserve">01.12.2024                    </t>
  </si>
  <si>
    <t>26</t>
  </si>
  <si>
    <t>ITALY BTPS 1.5% 15-01/06/2025</t>
  </si>
  <si>
    <t>IT0005090318</t>
  </si>
  <si>
    <t>DEA1VJRV=IXR</t>
  </si>
  <si>
    <t>=WENN(ODER(ISTFEHLER(L50*$C$20/$C$16),IDENTISCH(TEIL(B50,1,4),"WPL:")),0,L50*$C$20/$C$16)</t>
  </si>
  <si>
    <t>=WENN(ODER(ISTFEHLER(M50*$C$20/$C$16),IDENTISCH(TEIL(B50,1,4),"WPL:")),0,M50*$C$20/$C$16)</t>
  </si>
  <si>
    <t>=WENN(ODER(ISTFEHLER(N50*$C$20/$C$16),IDENTISCH(TEIL(B50,1,4),"WPL:")),0,N50*$C$20/$C$16)</t>
  </si>
  <si>
    <t>=WENN(ODER(ISTFEHLER(L50*$C$21/N56),IDENTISCH(TEIL(B50,1,4),"WPL:")),0,L50*$C$21/N56)</t>
  </si>
  <si>
    <t>=WENN(ODER(ISTFEHLER(M50*$C$21/N56),IDENTISCH(TEIL(B50,1,4),"WPL:")),0,M50*$C$21/N56)</t>
  </si>
  <si>
    <t>=WENN(ODER(ISTFEHLER(M50*$C$20),IDENTISCH(TEIL(B50,1,4),"WPL:")),0,N50*$C$21/N56)</t>
  </si>
  <si>
    <t>=WENN(ODER(ISTFEHLER(L50*$C$20/$C$16),TEIL(B50,1,4)&lt;&gt;"WPL:"),0,L50*$C$20/$C$16)</t>
  </si>
  <si>
    <t>=WENN(ODER(ISTFEHLER(3381.62*$C$21/N56),TEIL(B50,1,4)&lt;&gt;"WPL:"),0,3381.62*$C$21/N56)</t>
  </si>
  <si>
    <t>=WENN(ODER(ISTFEHLER(713570.34*$C$20/$C$16),TEIL(B50,1,4)&lt;&gt;"WPL:"),0,713570.34*$C$20/$C$16)</t>
  </si>
  <si>
    <t>=WENN(ODER(ISTFEHLER(L50*$C$21/N56),TEIL(B50,1,4)&lt;&gt;"WPL:"),0,L50*$C$21/N56)</t>
  </si>
  <si>
    <t>=WENN(ODER(ISTFEHLER(713570.34*$C$20),TEIL(B50,1,4)&lt;&gt;"WPL:"),0,713570.34*$C$21/N56)</t>
  </si>
  <si>
    <t xml:space="preserve">02.03.2015                    </t>
  </si>
  <si>
    <t xml:space="preserve">01.06.2025                    </t>
  </si>
  <si>
    <t>27</t>
  </si>
  <si>
    <t>ITALY BTPS 1.25% 16-01/12/2026</t>
  </si>
  <si>
    <t>IT0005210650</t>
  </si>
  <si>
    <t>DEA1V1MZ=IXR</t>
  </si>
  <si>
    <t>=WENN(ODER(ISTFEHLER(L51*$C$20/$C$16),IDENTISCH(TEIL(B51,1,4),"WPL:")),0,L51*$C$20/$C$16)</t>
  </si>
  <si>
    <t>=WENN(ODER(ISTFEHLER(M51*$C$20/$C$16),IDENTISCH(TEIL(B51,1,4),"WPL:")),0,M51*$C$20/$C$16)</t>
  </si>
  <si>
    <t>=WENN(ODER(ISTFEHLER(N51*$C$20/$C$16),IDENTISCH(TEIL(B51,1,4),"WPL:")),0,N51*$C$20/$C$16)</t>
  </si>
  <si>
    <t>=WENN(ODER(ISTFEHLER(L51*$C$21/N56),IDENTISCH(TEIL(B51,1,4),"WPL:")),0,L51*$C$21/N56)</t>
  </si>
  <si>
    <t>=WENN(ODER(ISTFEHLER(M51*$C$21/N56),IDENTISCH(TEIL(B51,1,4),"WPL:")),0,M51*$C$21/N56)</t>
  </si>
  <si>
    <t>=WENN(ODER(ISTFEHLER(M51*$C$20),IDENTISCH(TEIL(B51,1,4),"WPL:")),0,N51*$C$21/N56)</t>
  </si>
  <si>
    <t>=WENN(ODER(ISTFEHLER(L51*$C$20/$C$16),TEIL(B51,1,4)&lt;&gt;"WPL:"),0,L51*$C$20/$C$16)</t>
  </si>
  <si>
    <t>=WENN(ODER(ISTFEHLER(2568.7*$C$21/N56),TEIL(B51,1,4)&lt;&gt;"WPL:"),0,2568.7*$C$21/N56)</t>
  </si>
  <si>
    <t>=WENN(ODER(ISTFEHLER(618182.22*$C$20/$C$16),TEIL(B51,1,4)&lt;&gt;"WPL:"),0,618182.22*$C$20/$C$16)</t>
  </si>
  <si>
    <t>=WENN(ODER(ISTFEHLER(L51*$C$21/N56),TEIL(B51,1,4)&lt;&gt;"WPL:"),0,L51*$C$21/N56)</t>
  </si>
  <si>
    <t>=WENN(ODER(ISTFEHLER(618182.22*$C$20),TEIL(B51,1,4)&lt;&gt;"WPL:"),0,618182.22*$C$21/N56)</t>
  </si>
  <si>
    <t xml:space="preserve">01.08.2016                    </t>
  </si>
  <si>
    <t xml:space="preserve">01.12.2026                    </t>
  </si>
  <si>
    <t>28</t>
  </si>
  <si>
    <t>NETHERLANDS GOVT 0.25% 15-15/07/2025</t>
  </si>
  <si>
    <t>NL0011220108</t>
  </si>
  <si>
    <t>DEA1ZY9A=IXR</t>
  </si>
  <si>
    <t>Niederlande</t>
  </si>
  <si>
    <t>=WENN(ODER(ISTFEHLER(L52*$C$20/$C$16),IDENTISCH(TEIL(B52,1,4),"WPL:")),0,L52*$C$20/$C$16)</t>
  </si>
  <si>
    <t>=WENN(ODER(ISTFEHLER(M52*$C$20/$C$16),IDENTISCH(TEIL(B52,1,4),"WPL:")),0,M52*$C$20/$C$16)</t>
  </si>
  <si>
    <t>=WENN(ODER(ISTFEHLER(N52*$C$20/$C$16),IDENTISCH(TEIL(B52,1,4),"WPL:")),0,N52*$C$20/$C$16)</t>
  </si>
  <si>
    <t>=WENN(ODER(ISTFEHLER(L52*$C$21/N56),IDENTISCH(TEIL(B52,1,4),"WPL:")),0,L52*$C$21/N56)</t>
  </si>
  <si>
    <t>=WENN(ODER(ISTFEHLER(M52*$C$21/N56),IDENTISCH(TEIL(B52,1,4),"WPL:")),0,M52*$C$21/N56)</t>
  </si>
  <si>
    <t>=WENN(ODER(ISTFEHLER(M52*$C$20),IDENTISCH(TEIL(B52,1,4),"WPL:")),0,N52*$C$21/N56)</t>
  </si>
  <si>
    <t>=WENN(ODER(ISTFEHLER(L52*$C$20/$C$16),TEIL(B52,1,4)&lt;&gt;"WPL:"),0,L52*$C$20/$C$16)</t>
  </si>
  <si>
    <t>=WENN(ODER(ISTFEHLER(978.95*$C$21/N56),TEIL(B52,1,4)&lt;&gt;"WPL:"),0,978.95*$C$21/N56)</t>
  </si>
  <si>
    <t>=WENN(ODER(ISTFEHLER(568239.21*$C$20/$C$16),TEIL(B52,1,4)&lt;&gt;"WPL:"),0,568239.21*$C$20/$C$16)</t>
  </si>
  <si>
    <t>=WENN(ODER(ISTFEHLER(L52*$C$21/N56),TEIL(B52,1,4)&lt;&gt;"WPL:"),0,L52*$C$21/N56)</t>
  </si>
  <si>
    <t>=WENN(ODER(ISTFEHLER(568239.21*$C$20),TEIL(B52,1,4)&lt;&gt;"WPL:"),0,568239.21*$C$21/N56)</t>
  </si>
  <si>
    <t xml:space="preserve">26.03.2015                    </t>
  </si>
  <si>
    <t xml:space="preserve">15.07.2025                    </t>
  </si>
  <si>
    <t>29</t>
  </si>
  <si>
    <t>NETHERLANDS GOVT 0.5% 16-15/07/2026</t>
  </si>
  <si>
    <t>NL0011819040</t>
  </si>
  <si>
    <t>DEA1VNKY=IXR</t>
  </si>
  <si>
    <t>=WENN(ODER(ISTFEHLER(L53*$C$20/$C$16),IDENTISCH(TEIL(B53,1,4),"WPL:")),0,L53*$C$20/$C$16)</t>
  </si>
  <si>
    <t>=WENN(ODER(ISTFEHLER(M53*$C$20/$C$16),IDENTISCH(TEIL(B53,1,4),"WPL:")),0,M53*$C$20/$C$16)</t>
  </si>
  <si>
    <t>=WENN(ODER(ISTFEHLER(N53*$C$20/$C$16),IDENTISCH(TEIL(B53,1,4),"WPL:")),0,N53*$C$20/$C$16)</t>
  </si>
  <si>
    <t>=WENN(ODER(ISTFEHLER(L53*$C$21/N56),IDENTISCH(TEIL(B53,1,4),"WPL:")),0,L53*$C$21/N56)</t>
  </si>
  <si>
    <t>=WENN(ODER(ISTFEHLER(M53*$C$21/N56),IDENTISCH(TEIL(B53,1,4),"WPL:")),0,M53*$C$21/N56)</t>
  </si>
  <si>
    <t>=WENN(ODER(ISTFEHLER(M53*$C$20),IDENTISCH(TEIL(B53,1,4),"WPL:")),0,N53*$C$21/N56)</t>
  </si>
  <si>
    <t>=WENN(ODER(ISTFEHLER(L53*$C$20/$C$16),TEIL(B53,1,4)&lt;&gt;"WPL:"),0,L53*$C$20/$C$16)</t>
  </si>
  <si>
    <t>=WENN(ODER(ISTFEHLER(1944.25*$C$21/N56),TEIL(B53,1,4)&lt;&gt;"WPL:"),0,1944.25*$C$21/N56)</t>
  </si>
  <si>
    <t>=WENN(ODER(ISTFEHLER(570695.95*$C$20/$C$16),TEIL(B53,1,4)&lt;&gt;"WPL:"),0,570695.95*$C$20/$C$16)</t>
  </si>
  <si>
    <t>=WENN(ODER(ISTFEHLER(L53*$C$21/N56),TEIL(B53,1,4)&lt;&gt;"WPL:"),0,L53*$C$21/N56)</t>
  </si>
  <si>
    <t>=WENN(ODER(ISTFEHLER(570695.95*$C$20),TEIL(B53,1,4)&lt;&gt;"WPL:"),0,570695.95*$C$21/N56)</t>
  </si>
  <si>
    <t xml:space="preserve">24.03.2016                    </t>
  </si>
  <si>
    <t xml:space="preserve">15.07.2026                    </t>
  </si>
  <si>
    <t>Barbestand (DekaBank, Kontokorrentkonto, -0,353% Zinsen*)</t>
  </si>
  <si>
    <t>Sonstige Forderungen und Verbindlichkeiten</t>
  </si>
  <si>
    <t>Gesamtfonds-Ebene</t>
  </si>
  <si>
    <t>=SUMME(l25:l55)</t>
  </si>
  <si>
    <t>=SUMME(m25:m55)</t>
  </si>
  <si>
    <t>=SUMME(n25:n55)</t>
  </si>
  <si>
    <t>=SUMME(o25:o55)</t>
  </si>
  <si>
    <t>=SUMME(p25:p55)</t>
  </si>
  <si>
    <t>=SUMME(q25:q55)</t>
  </si>
  <si>
    <t>=SUMME(r25:r55)</t>
  </si>
  <si>
    <t>=SUMME(s25:s55)</t>
  </si>
  <si>
    <t>Aufgeteilt nach Emittenten</t>
  </si>
  <si>
    <t>110000</t>
  </si>
  <si>
    <t>=WENN(ISTFEHLER(L64*$C$20/$C$16),0,L64*$C$20/$C$16)</t>
  </si>
  <si>
    <t>=WENN(ISTFEHLER(M64*$C$20/$C$16),0,M64*$C$20/$C$16)</t>
  </si>
  <si>
    <t>=WENN(ISTFEHLER(N64*$C$20/$C$16),0,N64*$C$20/$C$16)</t>
  </si>
  <si>
    <t>=WENN(ISTFEHLER(L64*$C$21/N78),0,L64*$C$21/N78)</t>
  </si>
  <si>
    <t>=WENN(ISTFEHLER(M64*$C$21/N78),0,M64*$C$21/N78)</t>
  </si>
  <si>
    <t>=WENN(ISTFEHLER(O64*$C$21/N78),0,O64*$C$21/N78)</t>
  </si>
  <si>
    <t>239000</t>
  </si>
  <si>
    <t>DekaBank Deutsche Girozentrale Anstalt des öffentlichen Rechts</t>
  </si>
  <si>
    <t>=WENN(ISTFEHLER(L65*$C$20/$C$16),0,L65*$C$20/$C$16)</t>
  </si>
  <si>
    <t>=WENN(ISTFEHLER(M65*$C$20/$C$16),0,M65*$C$20/$C$16)</t>
  </si>
  <si>
    <t>=WENN(ISTFEHLER(N65*$C$20/$C$16),0,N65*$C$20/$C$16)</t>
  </si>
  <si>
    <t>=WENN(ISTFEHLER(L65*$C$21/N79),0,L65*$C$21/N79)</t>
  </si>
  <si>
    <t>=WENN(ISTFEHLER(M65*$C$21/N79),0,M65*$C$21/N79)</t>
  </si>
  <si>
    <t>=WENN(ISTFEHLER(O65*$C$21/N79),0,O65*$C$21/N79)</t>
  </si>
  <si>
    <t>450063</t>
  </si>
  <si>
    <t>=WENN(ISTFEHLER(L66*$C$20/$C$16),0,L66*$C$20/$C$16)</t>
  </si>
  <si>
    <t>=WENN(ISTFEHLER(M66*$C$20/$C$16),0,M66*$C$20/$C$16)</t>
  </si>
  <si>
    <t>=WENN(ISTFEHLER(N66*$C$20/$C$16),0,N66*$C$20/$C$16)</t>
  </si>
  <si>
    <t>=WENN(ISTFEHLER(L66*$C$21/N80),0,L66*$C$21/N80)</t>
  </si>
  <si>
    <t>=WENN(ISTFEHLER(M66*$C$21/N80),0,M66*$C$21/N80)</t>
  </si>
  <si>
    <t>=WENN(ISTFEHLER(O66*$C$21/N80),0,O66*$C$21/N80)</t>
  </si>
  <si>
    <t>450287</t>
  </si>
  <si>
    <t>=WENN(ISTFEHLER(L67*$C$20/$C$16),0,L67*$C$20/$C$16)</t>
  </si>
  <si>
    <t>=WENN(ISTFEHLER(M67*$C$20/$C$16),0,M67*$C$20/$C$16)</t>
  </si>
  <si>
    <t>=WENN(ISTFEHLER(N67*$C$20/$C$16),0,N67*$C$20/$C$16)</t>
  </si>
  <si>
    <t>=WENN(ISTFEHLER(L67*$C$21/N81),0,L67*$C$21/N81)</t>
  </si>
  <si>
    <t>=WENN(ISTFEHLER(M67*$C$21/N81),0,M67*$C$21/N81)</t>
  </si>
  <si>
    <t>=WENN(ISTFEHLER(O67*$C$21/N81),0,O67*$C$21/N81)</t>
  </si>
  <si>
    <t>456326</t>
  </si>
  <si>
    <t>=WENN(ISTFEHLER(L68*$C$20/$C$16),0,L68*$C$20/$C$16)</t>
  </si>
  <si>
    <t>=WENN(ISTFEHLER(M68*$C$20/$C$16),0,M68*$C$20/$C$16)</t>
  </si>
  <si>
    <t>=WENN(ISTFEHLER(N68*$C$20/$C$16),0,N68*$C$20/$C$16)</t>
  </si>
  <si>
    <t>=WENN(ISTFEHLER(L68*$C$21/N82),0,L68*$C$21/N82)</t>
  </si>
  <si>
    <t>=WENN(ISTFEHLER(M68*$C$21/N82),0,M68*$C$21/N82)</t>
  </si>
  <si>
    <t>=WENN(ISTFEHLER(O68*$C$21/N82),0,O68*$C$21/N82)</t>
  </si>
  <si>
    <t>458634</t>
  </si>
  <si>
    <t>=WENN(ISTFEHLER(L69*$C$20/$C$16),0,L69*$C$20/$C$16)</t>
  </si>
  <si>
    <t>=WENN(ISTFEHLER(M69*$C$20/$C$16),0,M69*$C$20/$C$16)</t>
  </si>
  <si>
    <t>=WENN(ISTFEHLER(N69*$C$20/$C$16),0,N69*$C$20/$C$16)</t>
  </si>
  <si>
    <t>=WENN(ISTFEHLER(L69*$C$21/N83),0,L69*$C$21/N83)</t>
  </si>
  <si>
    <t>=WENN(ISTFEHLER(M69*$C$21/N83),0,M69*$C$21/N83)</t>
  </si>
  <si>
    <t>=WENN(ISTFEHLER(O69*$C$21/N83),0,O69*$C$21/N83)</t>
  </si>
  <si>
    <t>462186</t>
  </si>
  <si>
    <t>=WENN(ISTFEHLER(L70*$C$20/$C$16),0,L70*$C$20/$C$16)</t>
  </si>
  <si>
    <t>=WENN(ISTFEHLER(M70*$C$20/$C$16),0,M70*$C$20/$C$16)</t>
  </si>
  <si>
    <t>=WENN(ISTFEHLER(N70*$C$20/$C$16),0,N70*$C$20/$C$16)</t>
  </si>
  <si>
    <t>=WENN(ISTFEHLER(L70*$C$21/N84),0,L70*$C$21/N84)</t>
  </si>
  <si>
    <t>=WENN(ISTFEHLER(M70*$C$21/N84),0,M70*$C$21/N84)</t>
  </si>
  <si>
    <t>=WENN(ISTFEHLER(O70*$C$21/N84),0,O70*$C$21/N84)</t>
  </si>
  <si>
    <t>464541</t>
  </si>
  <si>
    <t>=WENN(ISTFEHLER(L71*$C$20/$C$16),0,L71*$C$20/$C$16)</t>
  </si>
  <si>
    <t>=WENN(ISTFEHLER(M71*$C$20/$C$16),0,M71*$C$20/$C$16)</t>
  </si>
  <si>
    <t>=WENN(ISTFEHLER(N71*$C$20/$C$16),0,N71*$C$20/$C$16)</t>
  </si>
  <si>
    <t>=WENN(ISTFEHLER(L71*$C$21/N85),0,L71*$C$21/N85)</t>
  </si>
  <si>
    <t>=WENN(ISTFEHLER(M71*$C$21/N85),0,M71*$C$21/N85)</t>
  </si>
  <si>
    <t>=WENN(ISTFEHLER(O71*$C$21/N85),0,O71*$C$21/N85)</t>
  </si>
  <si>
    <t>465688</t>
  </si>
  <si>
    <t>=WENN(ISTFEHLER(L72*$C$20/$C$16),0,L72*$C$20/$C$16)</t>
  </si>
  <si>
    <t>=WENN(ISTFEHLER(M72*$C$20/$C$16),0,M72*$C$20/$C$16)</t>
  </si>
  <si>
    <t>=WENN(ISTFEHLER(N72*$C$20/$C$16),0,N72*$C$20/$C$16)</t>
  </si>
  <si>
    <t>=WENN(ISTFEHLER(L72*$C$21/N86),0,L72*$C$21/N86)</t>
  </si>
  <si>
    <t>=WENN(ISTFEHLER(M72*$C$21/N86),0,M72*$C$21/N86)</t>
  </si>
  <si>
    <t>=WENN(ISTFEHLER(O72*$C$21/N86),0,O72*$C$21/N86)</t>
  </si>
  <si>
    <t>ABGEGR ZINSFORD/WERTP-LEIHE</t>
  </si>
  <si>
    <t>=WENN(ISTFEHLER(L73*$C$20/$C$16),0,L73*$C$20/$C$16)</t>
  </si>
  <si>
    <t>=WENN(ISTFEHLER(M73*$C$20/$C$16),0,M73*$C$20/$C$16)</t>
  </si>
  <si>
    <t>=WENN(ISTFEHLER(N73*$C$20/$C$16),0,N73*$C$20/$C$16)</t>
  </si>
  <si>
    <t>=WENN(ISTFEHLER(L73*$C$21/N87),0,L73*$C$21/N87)</t>
  </si>
  <si>
    <t>=WENN(ISTFEHLER(M73*$C$21/N87),0,M73*$C$21/N87)</t>
  </si>
  <si>
    <t>=WENN(ISTFEHLER(O73*$C$21/N87),0,O73*$C$21/N87)</t>
  </si>
  <si>
    <t>STÜCKZINSANSPR ANLEIHEN (AUTO)</t>
  </si>
  <si>
    <t>=WENN(ISTFEHLER(L74*$C$20/$C$16),0,L74*$C$20/$C$16)</t>
  </si>
  <si>
    <t>=WENN(ISTFEHLER(M74*$C$20/$C$16),0,M74*$C$20/$C$16)</t>
  </si>
  <si>
    <t>=WENN(ISTFEHLER(N74*$C$20/$C$16),0,N74*$C$20/$C$16)</t>
  </si>
  <si>
    <t>=WENN(ISTFEHLER(L74*$C$21/N88),0,L74*$C$21/N88)</t>
  </si>
  <si>
    <t>=WENN(ISTFEHLER(M74*$C$21/N88),0,M74*$C$21/N88)</t>
  </si>
  <si>
    <t>=WENN(ISTFEHLER(O74*$C$21/N88),0,O74*$C$21/N88)</t>
  </si>
  <si>
    <t>VERB VERWALTUNGSVERGÜTUNG(AUTO</t>
  </si>
  <si>
    <t>=WENN(ISTFEHLER(L75*$C$20/$C$16),0,L75*$C$20/$C$16)</t>
  </si>
  <si>
    <t>=WENN(ISTFEHLER(M75*$C$20/$C$16),0,M75*$C$20/$C$16)</t>
  </si>
  <si>
    <t>=WENN(ISTFEHLER(N75*$C$20/$C$16),0,N75*$C$20/$C$16)</t>
  </si>
  <si>
    <t>=WENN(ISTFEHLER(L75*$C$21/N89),0,L75*$C$21/N89)</t>
  </si>
  <si>
    <t>=WENN(ISTFEHLER(M75*$C$21/N89),0,M75*$C$21/N89)</t>
  </si>
  <si>
    <t>=WENN(ISTFEHLER(O75*$C$21/N89),0,O75*$C$21/N89)</t>
  </si>
  <si>
    <t>=SUMME(L64:L77)</t>
  </si>
  <si>
    <t>=SUMME(m64:m77)</t>
  </si>
  <si>
    <t>=SUMME(n64:n77)</t>
  </si>
  <si>
    <t>=SUMME(p64:p77)</t>
  </si>
  <si>
    <t>=SUMME(q64:q77)</t>
  </si>
  <si>
    <t>=SUMME(r64:r77)</t>
  </si>
  <si>
    <t>=SUMME(s64:s77)</t>
  </si>
  <si>
    <t>=SUMME(t64:t77)</t>
  </si>
  <si>
    <t>=SUMME(u64:u77)</t>
  </si>
  <si>
    <t>=SUMME(v64:v77)</t>
  </si>
  <si>
    <t>*Cash im Fonds wurde mit durchschnittlich -0,353 % im Monat verzinst</t>
  </si>
  <si>
    <t>Disclaimer:</t>
  </si>
  <si>
    <t xml:space="preserve">Die angegebenen Daten basieren auf den von Indexprovidern und anderen Quellen veröffentlichten Informationen. Die Daten werden von uns sorgfältig geprüft. Die Deka Investment GmbH übernimmt jedoch keine Gewähr oder sonstige Haftung für die Vollständigkeit und Richtigkeit dieser Daten; insbesondere haftet sie nicht für Schäden, die durch die Verwendung der oben genannten Daten entstehen.            
</t>
  </si>
  <si>
    <t xml:space="preserve">
Die angegebenen Daten basieren auf den von Indexprovidern und anderen Quellen veröffentlichten Informationen. Die Daten werden von uns sorgfältig geprüft. Die Deka Investment GmbH übernimmt jedoch keine Gewähr oder sonstige Haftung für die Vollständigkeit und Richtigkeit dieser Daten; insbesondere haftet sie nicht für Schäden, die durch die Verwendung der oben genannten Daten entstehen.            
</t>
  </si>
  <si>
    <t xml:space="preserve">Data presented are based on information published by index providers and other sources. All data are carefully checked on our part. However, Deka Investment GmbH does not guarantee or warrant that such data are complete and/or correct and shall not be liable for any damages occurring due to the utilization of the above-mentioned data or for damages that occur due to the utilization of such data.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</si>
</sst>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 #,##0_);_(* (#,##0);_(* &quot;-&quot;_);_(@_)"/>
    <numFmt numFmtId="41" formatCode="_(&quot;$&quot;* #,##0_);_(&quot;$&quot;* (#,##0);_(&quot;$&quot;* &quot;-&quot;_);_(@_)"/>
    <numFmt numFmtId="44" formatCode="_(* #,##0.00_);_(* (#,##0.00);_(* &quot;-&quot;??_);_(@_)"/>
    <numFmt numFmtId="43" formatCode="_(&quot;$&quot;* #,##0.00_);_(&quot;$&quot;* (#,##0.00);_(&quot;$&quot;* &quot;-&quot;??_);_(@_)"/>
    <numFmt numFmtId="164" formatCode="&quot;&quot;#,##0.00"/>
  </numFmts>
  <fonts count="8">
    <font>
      <sz val="10"/>
      <name val="Arial"/>
      <family val="0"/>
    </font>
    <font>
      <sz val="10"/>
      <color indexed="8"/>
      <name val="Arial"/>
      <family val="0"/>
    </font>
    <font>
      <b/>
      <sz val="24"/>
      <color indexed="8"/>
      <name val="Arial"/>
      <family val="0"/>
    </font>
    <font>
      <sz val="16"/>
      <color indexed="8"/>
      <name val="Arial"/>
      <family val="0"/>
    </font>
    <font>
      <b/>
      <sz val="24"/>
      <color indexed="63"/>
      <name val="Arial"/>
      <family val="0"/>
    </font>
    <font>
      <b/>
      <sz val="16"/>
      <color indexed="8"/>
      <name val="Arial"/>
      <family val="0"/>
    </font>
    <font>
      <b/>
      <sz val="10"/>
      <color indexed="8"/>
      <name val="Arial"/>
      <family val="0"/>
    </font>
    <font>
      <sz val="11"/>
      <name val="Calibri"/>
      <family val="0"/>
    </font>
  </fonts>
  <fills count="5">
    <fill>
      <patternFill/>
    </fill>
    <fill>
      <patternFill patternType="gray125"/>
    </fill>
    <fill>
      <patternFill patternType="solid">
        <fgColor indexed="23"/>
        <bgColor indexed="64"/>
      </patternFill>
    </fill>
    <fill>
      <patternFill patternType="solid">
        <fgColor indexed="22"/>
        <bgColor indexed="64"/>
      </patternFill>
    </fill>
    <fill>
      <patternFill patternType="solid">
        <fgColor indexed="62"/>
        <bgColor indexed="64"/>
      </patternFill>
    </fill>
  </fills>
  <borders count="67">
    <border>
      <left/>
      <right/>
      <top/>
      <bottom/>
      <diagonal/>
    </border>
    <border>
      <left style="thin">
        <color indexed="9"/>
      </left>
      <right>
        <color indexed="8"/>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style="thin">
        <color indexed="23"/>
      </bottom>
    </border>
    <border>
      <left style="thin">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color indexed="8"/>
      </bottom>
    </border>
    <border>
      <left>
        <color indexed="8"/>
      </left>
      <right style="thin">
        <color indexed="8"/>
      </right>
      <top>
        <color indexed="8"/>
      </top>
      <bottom>
        <color indexed="8"/>
      </bottom>
    </border>
    <border>
      <left style="thin">
        <color indexed="8"/>
      </left>
      <right style="thin">
        <color indexed="8"/>
      </right>
      <top style="thin">
        <color indexed="8"/>
      </top>
      <bottom style="thin">
        <color indexed="8"/>
      </bottom>
    </border>
    <border>
      <left style="thin">
        <color indexed="8"/>
      </left>
      <right>
        <color indexed="8"/>
      </right>
      <top>
        <color indexed="8"/>
      </top>
      <bottom style="thin">
        <color indexed="8"/>
      </bottom>
    </border>
    <border>
      <left>
        <color indexed="8"/>
      </left>
      <right>
        <color indexed="8"/>
      </right>
      <top style="thin">
        <color indexed="9"/>
      </top>
      <bottom style="thin">
        <color indexed="9"/>
      </bottom>
    </border>
    <border>
      <left>
        <color indexed="8"/>
      </left>
      <right style="thin">
        <color indexed="9"/>
      </right>
      <top style="thin">
        <color indexed="9"/>
      </top>
      <bottom style="thin">
        <color indexed="9"/>
      </bottom>
    </border>
    <border>
      <left style="thin">
        <color indexed="9"/>
      </left>
      <right>
        <color indexed="8"/>
      </right>
      <top style="medium">
        <color indexed="8"/>
      </top>
      <bottom style="medium">
        <color indexed="8"/>
      </bottom>
    </border>
    <border>
      <left style="thin">
        <color indexed="9"/>
      </left>
      <right style="thin">
        <color indexed="9"/>
      </right>
      <top style="medium">
        <color indexed="8"/>
      </top>
      <bottom style="medium">
        <color indexed="8"/>
      </bottom>
    </border>
    <border>
      <left style="thin">
        <color indexed="9"/>
      </left>
      <right style="thin">
        <color indexed="9"/>
      </right>
      <top style="medium">
        <color indexed="8"/>
      </top>
      <bottom>
        <color indexed="8"/>
      </bottom>
    </border>
    <border>
      <left>
        <color indexed="8"/>
      </left>
      <right style="thin">
        <color indexed="9"/>
      </right>
      <top style="medium">
        <color indexed="8"/>
      </top>
      <bottom>
        <color indexed="8"/>
      </bottom>
    </border>
    <border>
      <left style="medium">
        <color indexed="8"/>
      </left>
      <right style="thin">
        <color indexed="9"/>
      </right>
      <top style="medium">
        <color indexed="8"/>
      </top>
      <bottom>
        <color indexed="8"/>
      </bottom>
    </border>
    <border>
      <left style="thin">
        <color indexed="9"/>
      </left>
      <right style="medium">
        <color indexed="8"/>
      </right>
      <top style="medium">
        <color indexed="8"/>
      </top>
      <bottom>
        <color indexed="8"/>
      </bottom>
    </border>
    <border>
      <left style="thin">
        <color indexed="9"/>
      </left>
      <right style="thin">
        <color indexed="9"/>
      </right>
      <top>
        <color indexed="8"/>
      </top>
      <bottom style="medium">
        <color indexed="8"/>
      </bottom>
    </border>
    <border>
      <left style="medium">
        <color indexed="8"/>
      </left>
      <right style="thin">
        <color indexed="9"/>
      </right>
      <top>
        <color indexed="8"/>
      </top>
      <bottom style="medium">
        <color indexed="8"/>
      </bottom>
    </border>
    <border>
      <left>
        <color indexed="8"/>
      </left>
      <right style="thin">
        <color indexed="9"/>
      </right>
      <top>
        <color indexed="8"/>
      </top>
      <bottom style="medium">
        <color indexed="8"/>
      </bottom>
    </border>
    <border>
      <left style="thin">
        <color indexed="9"/>
      </left>
      <right style="medium">
        <color indexed="8"/>
      </right>
      <top>
        <color indexed="8"/>
      </top>
      <bottom style="medium">
        <color indexed="8"/>
      </bottom>
    </border>
    <border>
      <left style="thin">
        <color indexed="9"/>
      </left>
      <right style="medium">
        <color indexed="9"/>
      </right>
      <top>
        <color indexed="8"/>
      </top>
      <bottom style="medium">
        <color indexed="8"/>
      </bottom>
    </border>
    <border>
      <left style="thin">
        <color indexed="9"/>
      </left>
      <right>
        <color indexed="8"/>
      </right>
      <top>
        <color indexed="8"/>
      </top>
      <bottom style="medium">
        <color indexed="8"/>
      </bottom>
    </border>
    <border>
      <left style="thin">
        <color indexed="9"/>
      </left>
      <right style="thin">
        <color indexed="9"/>
      </right>
      <top>
        <color indexed="8"/>
      </top>
      <bottom>
        <color indexed="8"/>
      </bottom>
    </border>
    <border>
      <left style="thin">
        <color indexed="9"/>
      </left>
      <right style="medium">
        <color indexed="9"/>
      </right>
      <top style="thin">
        <color indexed="9"/>
      </top>
      <bottom style="thin">
        <color indexed="9"/>
      </bottom>
    </border>
    <border>
      <left style="medium">
        <color indexed="9"/>
      </left>
      <right style="medium">
        <color indexed="9"/>
      </right>
      <top style="thin">
        <color indexed="61"/>
      </top>
      <bottom style="medium">
        <color indexed="9"/>
      </bottom>
    </border>
    <border>
      <left style="medium">
        <color indexed="8"/>
      </left>
      <right style="medium">
        <color indexed="9"/>
      </right>
      <top style="thin">
        <color indexed="61"/>
      </top>
      <bottom style="medium">
        <color indexed="9"/>
      </bottom>
    </border>
    <border>
      <left>
        <color indexed="8"/>
      </left>
      <right style="medium">
        <color indexed="9"/>
      </right>
      <top style="thin">
        <color indexed="61"/>
      </top>
      <bottom style="medium">
        <color indexed="9"/>
      </bottom>
    </border>
    <border>
      <left style="medium">
        <color indexed="9"/>
      </left>
      <right style="medium">
        <color indexed="8"/>
      </right>
      <top style="thin">
        <color indexed="61"/>
      </top>
      <bottom style="medium">
        <color indexed="9"/>
      </bottom>
    </border>
    <border>
      <left style="medium">
        <color indexed="9"/>
      </left>
      <right style="thin">
        <color indexed="9"/>
      </right>
      <top style="thin">
        <color indexed="61"/>
      </top>
      <bottom style="medium">
        <color indexed="9"/>
      </bottom>
    </border>
    <border>
      <left style="medium">
        <color indexed="9"/>
      </left>
      <right>
        <color indexed="8"/>
      </right>
      <top style="thin">
        <color indexed="61"/>
      </top>
      <bottom style="medium">
        <color indexed="9"/>
      </bottom>
    </border>
    <border>
      <left style="medium">
        <color indexed="8"/>
      </left>
      <right style="thin">
        <color indexed="9"/>
      </right>
      <top style="thin">
        <color indexed="9"/>
      </top>
      <bottom style="thin">
        <color indexed="9"/>
      </bottom>
    </border>
    <border>
      <left style="thin">
        <color indexed="9"/>
      </left>
      <right style="medium">
        <color indexed="8"/>
      </right>
      <top style="thin">
        <color indexed="9"/>
      </top>
      <bottom style="thin">
        <color indexed="9"/>
      </bottom>
    </border>
    <border>
      <left>
        <color indexed="8"/>
      </left>
      <right>
        <color indexed="8"/>
      </right>
      <top style="medium">
        <color indexed="8"/>
      </top>
      <bottom style="medium">
        <color indexed="8"/>
      </bottom>
    </border>
    <border>
      <left style="medium">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color indexed="8"/>
      </left>
      <right style="thin">
        <color indexed="9"/>
      </right>
      <top style="medium">
        <color indexed="8"/>
      </top>
      <bottom style="medium">
        <color indexed="8"/>
      </bottom>
    </border>
    <border>
      <left style="thin">
        <color indexed="9"/>
      </left>
      <right>
        <color indexed="8"/>
      </right>
      <top style="medium">
        <color indexed="8"/>
      </top>
      <bottom>
        <color indexed="8"/>
      </bottom>
    </border>
    <border>
      <left>
        <color indexed="8"/>
      </left>
      <right>
        <color indexed="8"/>
      </right>
      <top style="medium">
        <color indexed="8"/>
      </top>
      <bottom>
        <color indexed="8"/>
      </bottom>
    </border>
    <border>
      <left style="medium">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color indexed="8"/>
      </right>
      <top>
        <color indexed="8"/>
      </top>
      <bottom style="medium">
        <color indexed="8"/>
      </bottom>
    </border>
    <border>
      <left>
        <color indexed="8"/>
      </left>
      <right>
        <color indexed="8"/>
      </right>
      <top>
        <color indexed="8"/>
      </top>
      <bottom style="medium">
        <color indexed="8"/>
      </bottom>
    </border>
    <border>
      <left>
        <color indexed="8"/>
      </left>
      <right style="medium">
        <color indexed="8"/>
      </right>
      <top>
        <color indexed="8"/>
      </top>
      <bottom style="medium">
        <color indexed="8"/>
      </bottom>
    </border>
    <border>
      <left>
        <color indexed="8"/>
      </left>
      <right style="thin">
        <color indexed="9"/>
      </right>
      <top>
        <color indexed="8"/>
      </top>
      <bottom>
        <color indexed="8"/>
      </bottom>
    </border>
    <border>
      <left style="medium">
        <color indexed="9"/>
      </left>
      <right>
        <color indexed="8"/>
      </right>
      <top>
        <color indexed="8"/>
      </top>
      <bottom>
        <color indexed="8"/>
      </bottom>
    </border>
    <border>
      <left style="medium">
        <color indexed="8"/>
      </left>
      <right style="thin">
        <color indexed="9"/>
      </right>
      <top>
        <color indexed="8"/>
      </top>
      <bottom>
        <color indexed="8"/>
      </bottom>
    </border>
    <border>
      <left>
        <color indexed="8"/>
      </left>
      <right style="medium">
        <color indexed="8"/>
      </right>
      <top>
        <color indexed="8"/>
      </top>
      <bottom>
        <color indexed="8"/>
      </bottom>
    </border>
    <border>
      <left>
        <color indexed="8"/>
      </left>
      <right style="medium">
        <color indexed="9"/>
      </right>
      <top>
        <color indexed="8"/>
      </top>
      <bottom>
        <color indexed="8"/>
      </bottom>
    </border>
    <border>
      <left style="medium">
        <color indexed="9"/>
      </left>
      <right style="medium">
        <color indexed="9"/>
      </right>
      <top style="medium">
        <color indexed="9"/>
      </top>
      <bottom style="medium">
        <color indexed="9"/>
      </bottom>
    </border>
    <border>
      <left style="medium">
        <color indexed="8"/>
      </left>
      <right>
        <color indexed="8"/>
      </right>
      <top style="medium">
        <color indexed="9"/>
      </top>
      <bottom style="medium">
        <color indexed="9"/>
      </bottom>
    </border>
    <border>
      <left>
        <color indexed="8"/>
      </left>
      <right>
        <color indexed="8"/>
      </right>
      <top style="medium">
        <color indexed="9"/>
      </top>
      <bottom style="medium">
        <color indexed="9"/>
      </bottom>
    </border>
    <border>
      <left style="thin">
        <color indexed="9"/>
      </left>
      <right style="medium">
        <color indexed="8"/>
      </right>
      <top style="thin">
        <color indexed="9"/>
      </top>
      <bottom style="medium">
        <color indexed="9"/>
      </bottom>
    </border>
    <border>
      <left>
        <color indexed="8"/>
      </left>
      <right style="medium">
        <color indexed="9"/>
      </right>
      <top style="medium">
        <color indexed="9"/>
      </top>
      <bottom style="medium">
        <color indexed="9"/>
      </bottom>
    </border>
    <border>
      <left>
        <color indexed="8"/>
      </left>
      <right style="medium">
        <color indexed="8"/>
      </right>
      <top style="thin">
        <color indexed="9"/>
      </top>
      <bottom style="thin">
        <color indexed="9"/>
      </bottom>
    </border>
    <border>
      <left style="medium">
        <color indexed="8"/>
      </left>
      <right style="thin">
        <color indexed="9"/>
      </right>
      <top style="medium">
        <color indexed="9"/>
      </top>
      <bottom style="medium">
        <color indexed="9"/>
      </bottom>
    </border>
    <border>
      <left>
        <color indexed="8"/>
      </left>
      <right style="thin">
        <color indexed="9"/>
      </right>
      <top style="medium">
        <color indexed="9"/>
      </top>
      <bottom style="medium">
        <color indexed="9"/>
      </bottom>
    </border>
    <border>
      <left>
        <color indexed="8"/>
      </left>
      <right style="medium">
        <color indexed="8"/>
      </right>
      <top>
        <color indexed="8"/>
      </top>
      <bottom style="medium">
        <color indexed="9"/>
      </bottom>
    </border>
    <border>
      <left style="thin">
        <color indexed="9"/>
      </left>
      <right>
        <color indexed="8"/>
      </right>
      <top>
        <color indexed="8"/>
      </top>
      <bottom>
        <color indexed="8"/>
      </bottom>
    </border>
    <border>
      <left style="thin">
        <color indexed="8"/>
      </left>
      <right style="thin">
        <color indexed="8"/>
      </right>
      <top style="thin">
        <color indexed="8"/>
      </top>
      <bottom style="thin">
        <color indexed="9"/>
      </bottom>
    </border>
    <border>
      <left>
        <color indexed="8"/>
      </left>
      <right>
        <color indexed="8"/>
      </right>
      <top style="thin">
        <color indexed="8"/>
      </top>
      <bottom style="thin">
        <color indexed="9"/>
      </bottom>
    </border>
    <border>
      <left>
        <color indexed="8"/>
      </left>
      <right style="thin">
        <color indexed="8"/>
      </right>
      <top style="thin">
        <color indexed="8"/>
      </top>
      <bottom style="thin">
        <color indexed="9"/>
      </bottom>
    </border>
    <border>
      <left style="thin">
        <color indexed="8"/>
      </left>
      <right style="thin">
        <color indexed="9"/>
      </right>
      <top style="thin">
        <color indexed="9"/>
      </top>
      <bottom style="thin">
        <color indexed="9"/>
      </bottom>
    </border>
    <border>
      <left style="thin">
        <color indexed="8"/>
      </left>
      <right style="thin">
        <color indexed="8"/>
      </right>
      <top style="thin">
        <color indexed="9"/>
      </top>
      <bottom style="thin">
        <color indexed="8"/>
      </bottom>
    </border>
    <border>
      <left>
        <color indexed="8"/>
      </left>
      <right>
        <color indexed="8"/>
      </right>
      <top style="thin">
        <color indexed="9"/>
      </top>
      <bottom style="thin">
        <color indexed="8"/>
      </bottom>
    </border>
    <border>
      <left>
        <color indexed="8"/>
      </left>
      <right style="thin">
        <color indexed="8"/>
      </right>
      <top style="thin">
        <color indexed="9"/>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0" fontId="1" fillId="0" borderId="1" xfId="0" applyFont="1" applyBorder="1" applyAlignment="1">
      <alignment horizontal="right"/>
    </xf>
    <xf numFmtId="0" fontId="1" fillId="0" borderId="2" xfId="0" applyFont="1" applyBorder="1" applyAlignment="1">
      <alignment horizontal="left"/>
    </xf>
    <xf numFmtId="0" fontId="1" fillId="0" borderId="2" xfId="0" applyFont="1" applyBorder="1" applyAlignment="1">
      <alignment/>
    </xf>
    <xf numFmtId="0" fontId="1" fillId="0" borderId="2" xfId="0" applyFont="1" applyBorder="1" applyAlignment="1">
      <alignment wrapText="1"/>
    </xf>
    <xf numFmtId="0" fontId="2" fillId="0" borderId="1" xfId="0" applyFont="1" applyBorder="1" applyAlignment="1">
      <alignment horizontal="right" vertical="center"/>
    </xf>
    <xf numFmtId="0" fontId="3" fillId="0" borderId="2"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4" fillId="0" borderId="1" xfId="0" applyFont="1" applyBorder="1" applyAlignment="1">
      <alignment horizontal="right" vertical="center"/>
    </xf>
    <xf numFmtId="0" fontId="4" fillId="0" borderId="2" xfId="0" applyFont="1" applyBorder="1" applyAlignment="1">
      <alignment horizontal="left" vertical="center"/>
    </xf>
    <xf numFmtId="0" fontId="4" fillId="0" borderId="2" xfId="0" applyFont="1" applyBorder="1" applyAlignment="1">
      <alignment horizontal="left" vertical="center" wrapText="1"/>
    </xf>
    <xf numFmtId="0" fontId="1" fillId="0" borderId="2" xfId="0" applyFont="1" applyBorder="1" applyAlignment="1">
      <alignment horizontal="right"/>
    </xf>
    <xf numFmtId="0" fontId="1" fillId="0" borderId="2" xfId="0" applyFont="1" applyBorder="1" applyAlignment="1">
      <alignment horizontal="right" vertical="center"/>
    </xf>
    <xf numFmtId="0" fontId="5" fillId="0" borderId="2" xfId="0" applyFont="1" applyBorder="1" applyAlignment="1">
      <alignment horizontal="right" vertical="center"/>
    </xf>
    <xf numFmtId="0" fontId="5" fillId="0" borderId="2" xfId="0" applyFont="1" applyBorder="1" applyAlignment="1">
      <alignment horizontal="left" vertical="center"/>
    </xf>
    <xf numFmtId="0" fontId="5" fillId="0" borderId="2" xfId="0" applyFont="1" applyBorder="1" applyAlignment="1">
      <alignment horizontal="left" vertical="center" wrapText="1"/>
    </xf>
    <xf numFmtId="0" fontId="1" fillId="0" borderId="3" xfId="0" applyFont="1" applyBorder="1" applyAlignment="1">
      <alignment horizontal="left"/>
    </xf>
    <xf numFmtId="0" fontId="1" fillId="2" borderId="4" xfId="0" applyFont="1" applyBorder="1" applyAlignment="1">
      <alignment horizontal="left" vertical="center"/>
    </xf>
    <xf numFmtId="0" fontId="1" fillId="2" borderId="5" xfId="0" applyFont="1" applyBorder="1" applyAlignment="1">
      <alignment horizontal="right" vertical="center"/>
    </xf>
    <xf numFmtId="0" fontId="1" fillId="2" borderId="6" xfId="0" applyFont="1" applyBorder="1" applyAlignment="1">
      <alignment horizontal="left" vertical="center"/>
    </xf>
    <xf numFmtId="0" fontId="1" fillId="2" borderId="7" xfId="0" applyFont="1" applyBorder="1" applyAlignment="1">
      <alignment horizontal="right" vertical="center"/>
    </xf>
    <xf numFmtId="164" fontId="1" fillId="2" borderId="7" xfId="0" applyFont="1" applyBorder="1" applyAlignment="1">
      <alignment horizontal="right" vertical="center"/>
    </xf>
    <xf numFmtId="0" fontId="6" fillId="3" borderId="4" xfId="0" applyFont="1" applyBorder="1" applyAlignment="1">
      <alignment horizontal="left" vertical="center"/>
    </xf>
    <xf numFmtId="0" fontId="6" fillId="3" borderId="8" xfId="0" applyFont="1" applyBorder="1" applyAlignment="1">
      <alignment horizontal="right" vertical="center"/>
    </xf>
    <xf numFmtId="0" fontId="6" fillId="3" borderId="9" xfId="0" applyFont="1" applyBorder="1" applyAlignment="1">
      <alignment horizontal="left" vertical="center"/>
    </xf>
    <xf numFmtId="0" fontId="1" fillId="4" borderId="1" xfId="0" applyFont="1" applyBorder="1" applyAlignment="1">
      <alignment horizontal="left"/>
    </xf>
    <xf numFmtId="0" fontId="1" fillId="4" borderId="10" xfId="0" applyFont="1" applyBorder="1" applyAlignment="1">
      <alignment/>
    </xf>
    <xf numFmtId="0" fontId="1" fillId="4" borderId="11" xfId="0" applyFont="1" applyBorder="1" applyAlignment="1">
      <alignment/>
    </xf>
    <xf numFmtId="0" fontId="1" fillId="0" borderId="2" xfId="0" applyFont="1" applyBorder="1" applyAlignment="1">
      <alignment horizontal="center"/>
    </xf>
    <xf numFmtId="0" fontId="6" fillId="2" borderId="12" xfId="0" applyFont="1" applyBorder="1" applyAlignment="1">
      <alignment horizontal="right" vertical="center"/>
    </xf>
    <xf numFmtId="0" fontId="6" fillId="2" borderId="12" xfId="0" applyFont="1" applyBorder="1" applyAlignment="1">
      <alignment horizontal="left" vertical="center"/>
    </xf>
    <xf numFmtId="0" fontId="6" fillId="2" borderId="13" xfId="0" applyFont="1" applyBorder="1" applyAlignment="1">
      <alignment horizontal="center" vertical="center"/>
    </xf>
    <xf numFmtId="0" fontId="6" fillId="2" borderId="13" xfId="0" applyFont="1" applyBorder="1" applyAlignment="1">
      <alignment horizontal="center" vertical="center" wrapText="1"/>
    </xf>
    <xf numFmtId="0" fontId="6" fillId="2" borderId="14" xfId="0" applyFont="1" applyBorder="1" applyAlignment="1">
      <alignment horizontal="center" vertical="center" wrapText="1"/>
    </xf>
    <xf numFmtId="0" fontId="6" fillId="2" borderId="14" xfId="0" applyFont="1" applyBorder="1" applyAlignment="1">
      <alignment horizontal="center" vertical="center"/>
    </xf>
    <xf numFmtId="0" fontId="7" fillId="0" borderId="15" xfId="0" applyFont="1" applyBorder="1" applyAlignment="1">
      <alignment/>
    </xf>
    <xf numFmtId="0" fontId="6" fillId="3" borderId="16" xfId="0" applyFont="1" applyBorder="1" applyAlignment="1">
      <alignment horizontal="center" vertical="center" wrapText="1"/>
    </xf>
    <xf numFmtId="0" fontId="6" fillId="3" borderId="15" xfId="0" applyFont="1" applyBorder="1" applyAlignment="1">
      <alignment horizontal="center" vertical="center" wrapText="1"/>
    </xf>
    <xf numFmtId="0" fontId="6" fillId="3" borderId="17" xfId="0" applyFont="1" applyBorder="1" applyAlignment="1">
      <alignment horizontal="center" vertical="center" wrapText="1"/>
    </xf>
    <xf numFmtId="0" fontId="6" fillId="3" borderId="14" xfId="0" applyFont="1" applyBorder="1" applyAlignment="1">
      <alignment horizontal="center" vertical="center" wrapText="1"/>
    </xf>
    <xf numFmtId="0" fontId="6" fillId="3" borderId="14" xfId="0" applyFont="1" applyBorder="1" applyAlignment="1">
      <alignment horizontal="center" vertical="center"/>
    </xf>
    <xf numFmtId="0" fontId="6" fillId="2" borderId="17" xfId="0" applyFont="1" applyBorder="1" applyAlignment="1">
      <alignment horizontal="center" vertical="center"/>
    </xf>
    <xf numFmtId="0" fontId="6" fillId="2" borderId="18" xfId="0" applyFont="1" applyBorder="1" applyAlignment="1">
      <alignment horizontal="center" vertical="center" wrapText="1"/>
    </xf>
    <xf numFmtId="0" fontId="6" fillId="2" borderId="18" xfId="0" applyFont="1" applyBorder="1" applyAlignment="1">
      <alignment horizontal="center" vertical="center"/>
    </xf>
    <xf numFmtId="0" fontId="6" fillId="3" borderId="19" xfId="0" applyFont="1" applyBorder="1" applyAlignment="1">
      <alignment horizontal="center" vertical="center" wrapText="1"/>
    </xf>
    <xf numFmtId="0" fontId="6" fillId="3" borderId="20" xfId="0" applyFont="1" applyBorder="1" applyAlignment="1">
      <alignment horizontal="center" vertical="center" wrapText="1"/>
    </xf>
    <xf numFmtId="0" fontId="6" fillId="3" borderId="21" xfId="0" applyFont="1" applyBorder="1" applyAlignment="1">
      <alignment horizontal="center" vertical="center" wrapText="1"/>
    </xf>
    <xf numFmtId="0" fontId="6" fillId="3" borderId="18" xfId="0" applyFont="1" applyBorder="1" applyAlignment="1">
      <alignment horizontal="center" vertical="center" wrapText="1"/>
    </xf>
    <xf numFmtId="0" fontId="6" fillId="3" borderId="21" xfId="0" applyFont="1" applyBorder="1" applyAlignment="1">
      <alignment horizontal="center" vertical="center"/>
    </xf>
    <xf numFmtId="0" fontId="6" fillId="3" borderId="18" xfId="0" applyFont="1" applyBorder="1" applyAlignment="1">
      <alignment horizontal="center" vertical="center"/>
    </xf>
    <xf numFmtId="0" fontId="6" fillId="3" borderId="22" xfId="0" applyFont="1" applyBorder="1" applyAlignment="1">
      <alignment horizontal="center" vertical="center"/>
    </xf>
    <xf numFmtId="0" fontId="6" fillId="3" borderId="23" xfId="0" applyFont="1" applyBorder="1" applyAlignment="1">
      <alignment horizontal="center" vertical="center"/>
    </xf>
    <xf numFmtId="0" fontId="6" fillId="2" borderId="21" xfId="0" applyFont="1" applyBorder="1" applyAlignment="1">
      <alignment horizontal="center" vertical="center"/>
    </xf>
    <xf numFmtId="0" fontId="7" fillId="0" borderId="23" xfId="0" applyFont="1" applyBorder="1" applyAlignment="1">
      <alignment/>
    </xf>
    <xf numFmtId="0" fontId="7" fillId="0" borderId="18" xfId="0" applyFont="1" applyBorder="1" applyAlignment="1">
      <alignment/>
    </xf>
    <xf numFmtId="0" fontId="7" fillId="0" borderId="24" xfId="0" applyFont="1" applyBorder="1" applyAlignment="1">
      <alignment/>
    </xf>
    <xf numFmtId="0" fontId="1" fillId="0" borderId="25" xfId="0" applyFont="1" applyBorder="1" applyAlignment="1">
      <alignment horizontal="right"/>
    </xf>
    <xf numFmtId="0" fontId="1" fillId="0" borderId="26" xfId="0" applyFont="1" applyBorder="1" applyAlignment="1">
      <alignment horizontal="left"/>
    </xf>
    <xf numFmtId="0" fontId="1" fillId="0" borderId="26" xfId="0" applyFont="1" applyBorder="1" applyAlignment="1">
      <alignment horizontal="left" vertical="center"/>
    </xf>
    <xf numFmtId="0" fontId="1" fillId="0" borderId="26" xfId="0" applyFont="1" applyBorder="1" applyAlignment="1">
      <alignment horizontal="right"/>
    </xf>
    <xf numFmtId="0" fontId="1" fillId="0" borderId="26" xfId="0" applyFont="1" applyBorder="1" applyAlignment="1">
      <alignment horizontal="right" wrapText="1"/>
    </xf>
    <xf numFmtId="0" fontId="1" fillId="0" borderId="26" xfId="0" applyFont="1" applyBorder="1" applyAlignment="1">
      <alignment wrapText="1"/>
    </xf>
    <xf numFmtId="164" fontId="1" fillId="0" borderId="26" xfId="0" applyFont="1" applyBorder="1" applyAlignment="1">
      <alignment wrapText="1"/>
    </xf>
    <xf numFmtId="164" fontId="1" fillId="0" borderId="26" xfId="0" applyFont="1" applyBorder="1" applyAlignment="1">
      <alignment horizontal="right" wrapText="1"/>
    </xf>
    <xf numFmtId="164" fontId="1" fillId="0" borderId="26" xfId="0" applyFont="1" applyBorder="1" applyAlignment="1">
      <alignment horizontal="right"/>
    </xf>
    <xf numFmtId="0" fontId="1" fillId="0" borderId="27" xfId="0" applyFont="1" applyBorder="1" applyAlignment="1">
      <alignment wrapText="1"/>
    </xf>
    <xf numFmtId="0" fontId="1" fillId="0" borderId="28" xfId="0" applyFont="1" applyBorder="1" applyAlignment="1">
      <alignment wrapText="1"/>
    </xf>
    <xf numFmtId="0" fontId="1" fillId="0" borderId="29" xfId="0" applyFont="1" applyBorder="1" applyAlignment="1">
      <alignment wrapText="1"/>
    </xf>
    <xf numFmtId="0" fontId="1" fillId="0" borderId="29" xfId="0" applyFont="1" applyBorder="1" applyAlignment="1">
      <alignment/>
    </xf>
    <xf numFmtId="0" fontId="1" fillId="0" borderId="30" xfId="0" applyFont="1" applyBorder="1" applyAlignment="1">
      <alignment/>
    </xf>
    <xf numFmtId="164" fontId="1" fillId="0" borderId="29" xfId="0" applyFont="1" applyBorder="1" applyAlignment="1">
      <alignment horizontal="right"/>
    </xf>
    <xf numFmtId="0" fontId="1" fillId="0" borderId="31" xfId="0" applyFont="1" applyBorder="1" applyAlignment="1">
      <alignment/>
    </xf>
    <xf numFmtId="164" fontId="1" fillId="0" borderId="31" xfId="0" applyFont="1" applyBorder="1" applyAlignment="1">
      <alignment horizontal="right"/>
    </xf>
    <xf numFmtId="0" fontId="1" fillId="0" borderId="30" xfId="0" applyFont="1" applyBorder="1" applyAlignment="1">
      <alignment horizontal="right"/>
    </xf>
    <xf numFmtId="0" fontId="1" fillId="0" borderId="29" xfId="0" applyFont="1" applyBorder="1" applyAlignment="1">
      <alignment horizontal="left"/>
    </xf>
    <xf numFmtId="0" fontId="1" fillId="0" borderId="26" xfId="0" applyFont="1" applyBorder="1" applyAlignment="1">
      <alignment/>
    </xf>
    <xf numFmtId="164" fontId="1" fillId="0" borderId="2" xfId="0" applyFont="1" applyBorder="1" applyAlignment="1">
      <alignment horizontal="right"/>
    </xf>
    <xf numFmtId="164" fontId="1" fillId="0" borderId="2" xfId="0" applyFont="1" applyBorder="1" applyAlignment="1">
      <alignment horizontal="right" wrapText="1"/>
    </xf>
    <xf numFmtId="0" fontId="1" fillId="0" borderId="32" xfId="0" applyFont="1" applyBorder="1" applyAlignment="1">
      <alignment wrapText="1"/>
    </xf>
    <xf numFmtId="0" fontId="1" fillId="0" borderId="11" xfId="0" applyFont="1" applyBorder="1" applyAlignment="1">
      <alignment wrapText="1"/>
    </xf>
    <xf numFmtId="0" fontId="1" fillId="0" borderId="33" xfId="0" applyFont="1" applyBorder="1" applyAlignment="1">
      <alignment wrapText="1"/>
    </xf>
    <xf numFmtId="0" fontId="1" fillId="0" borderId="33" xfId="0" applyFont="1" applyBorder="1" applyAlignment="1">
      <alignment/>
    </xf>
    <xf numFmtId="0" fontId="1" fillId="0" borderId="1" xfId="0" applyFont="1" applyBorder="1" applyAlignment="1">
      <alignment/>
    </xf>
    <xf numFmtId="0" fontId="6" fillId="2" borderId="34" xfId="0" applyFont="1" applyBorder="1" applyAlignment="1">
      <alignment horizontal="right"/>
    </xf>
    <xf numFmtId="0" fontId="6" fillId="2" borderId="34" xfId="0" applyFont="1" applyBorder="1" applyAlignment="1">
      <alignment horizontal="left"/>
    </xf>
    <xf numFmtId="0" fontId="6" fillId="2" borderId="34" xfId="0" applyFont="1" applyBorder="1" applyAlignment="1">
      <alignment/>
    </xf>
    <xf numFmtId="0" fontId="6" fillId="2" borderId="34" xfId="0" applyFont="1" applyBorder="1" applyAlignment="1">
      <alignment wrapText="1"/>
    </xf>
    <xf numFmtId="0" fontId="6" fillId="2" borderId="35" xfId="0" applyFont="1" applyBorder="1" applyAlignment="1">
      <alignment wrapText="1"/>
    </xf>
    <xf numFmtId="0" fontId="6" fillId="2" borderId="36" xfId="0" applyFont="1" applyBorder="1" applyAlignment="1">
      <alignment wrapText="1"/>
    </xf>
    <xf numFmtId="0" fontId="6" fillId="2" borderId="36" xfId="0" applyFont="1" applyBorder="1" applyAlignment="1">
      <alignment/>
    </xf>
    <xf numFmtId="0" fontId="6" fillId="2" borderId="37" xfId="0" applyFont="1" applyBorder="1" applyAlignment="1">
      <alignment/>
    </xf>
    <xf numFmtId="0" fontId="1" fillId="0" borderId="1" xfId="0" applyFont="1" applyBorder="1" applyAlignment="1">
      <alignment wrapText="1"/>
    </xf>
    <xf numFmtId="0" fontId="6" fillId="0" borderId="1" xfId="0" applyFont="1" applyBorder="1" applyAlignment="1">
      <alignment horizontal="right" vertical="center"/>
    </xf>
    <xf numFmtId="0" fontId="6" fillId="0" borderId="2" xfId="0" applyFont="1" applyBorder="1" applyAlignment="1">
      <alignment horizontal="left" vertical="center"/>
    </xf>
    <xf numFmtId="0" fontId="6" fillId="0" borderId="2" xfId="0" applyFont="1" applyBorder="1" applyAlignment="1">
      <alignment horizontal="left" vertical="center" wrapText="1"/>
    </xf>
    <xf numFmtId="0" fontId="6"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2" borderId="34" xfId="0" applyFont="1" applyBorder="1" applyAlignment="1">
      <alignment horizontal="right" vertical="center"/>
    </xf>
    <xf numFmtId="0" fontId="6" fillId="2" borderId="12" xfId="0" applyFont="1" applyBorder="1" applyAlignment="1">
      <alignment horizontal="center" vertical="center"/>
    </xf>
    <xf numFmtId="0" fontId="6" fillId="2" borderId="38" xfId="0" applyFont="1" applyBorder="1" applyAlignment="1">
      <alignment horizontal="center" vertical="center"/>
    </xf>
    <xf numFmtId="0" fontId="7" fillId="0" borderId="39" xfId="0" applyFont="1" applyBorder="1" applyAlignment="1">
      <alignment/>
    </xf>
    <xf numFmtId="0" fontId="6" fillId="3" borderId="40" xfId="0" applyFont="1" applyBorder="1" applyAlignment="1">
      <alignment horizontal="center" vertical="center" wrapText="1"/>
    </xf>
    <xf numFmtId="0" fontId="6" fillId="3" borderId="39" xfId="0" applyFont="1" applyBorder="1" applyAlignment="1">
      <alignment horizontal="center" vertical="center" wrapText="1"/>
    </xf>
    <xf numFmtId="0" fontId="6" fillId="3" borderId="38" xfId="0" applyFont="1" applyBorder="1" applyAlignment="1">
      <alignment horizontal="center" vertical="center" wrapText="1"/>
    </xf>
    <xf numFmtId="0" fontId="6" fillId="3" borderId="41" xfId="0" applyFont="1" applyBorder="1" applyAlignment="1">
      <alignment horizontal="center" vertical="center" wrapText="1"/>
    </xf>
    <xf numFmtId="0" fontId="6" fillId="2" borderId="23" xfId="0" applyFont="1" applyBorder="1" applyAlignment="1">
      <alignment horizontal="center" vertical="center"/>
    </xf>
    <xf numFmtId="0" fontId="6" fillId="3" borderId="42" xfId="0" applyFont="1" applyBorder="1" applyAlignment="1">
      <alignment horizontal="center" vertical="center"/>
    </xf>
    <xf numFmtId="0" fontId="6" fillId="3" borderId="43" xfId="0" applyFont="1" applyBorder="1" applyAlignment="1">
      <alignment horizontal="center" vertical="center"/>
    </xf>
    <xf numFmtId="0" fontId="6" fillId="3" borderId="44" xfId="0" applyFont="1" applyBorder="1" applyAlignment="1">
      <alignment horizontal="center" vertical="center"/>
    </xf>
    <xf numFmtId="0" fontId="7" fillId="0" borderId="43" xfId="0" applyFont="1" applyBorder="1" applyAlignment="1">
      <alignment/>
    </xf>
    <xf numFmtId="0" fontId="1" fillId="0" borderId="45" xfId="0" applyFont="1" applyBorder="1" applyAlignment="1">
      <alignment horizontal="right"/>
    </xf>
    <xf numFmtId="0" fontId="1" fillId="0" borderId="45" xfId="0" applyFont="1" applyBorder="1" applyAlignment="1">
      <alignment horizontal="left"/>
    </xf>
    <xf numFmtId="0" fontId="1" fillId="0" borderId="0" xfId="0" applyFont="1" applyAlignment="1">
      <alignment horizontal="right"/>
    </xf>
    <xf numFmtId="0" fontId="1" fillId="0" borderId="46" xfId="0" applyFont="1" applyBorder="1" applyAlignment="1">
      <alignment horizontal="right"/>
    </xf>
    <xf numFmtId="0" fontId="1" fillId="0" borderId="47" xfId="0" applyFont="1" applyBorder="1" applyAlignment="1">
      <alignment horizontal="right"/>
    </xf>
    <xf numFmtId="0" fontId="1" fillId="0" borderId="48" xfId="0" applyFont="1" applyBorder="1" applyAlignment="1">
      <alignment horizontal="right"/>
    </xf>
    <xf numFmtId="0" fontId="1" fillId="0" borderId="49" xfId="0" applyFont="1" applyBorder="1" applyAlignment="1">
      <alignment horizontal="right"/>
    </xf>
    <xf numFmtId="0" fontId="1" fillId="0" borderId="10" xfId="0" applyFont="1" applyBorder="1" applyAlignment="1">
      <alignment horizontal="right"/>
    </xf>
    <xf numFmtId="164" fontId="1" fillId="0" borderId="50" xfId="0" applyFont="1" applyBorder="1" applyAlignment="1">
      <alignment horizontal="right"/>
    </xf>
    <xf numFmtId="0" fontId="1" fillId="0" borderId="51" xfId="0" applyFont="1" applyBorder="1" applyAlignment="1">
      <alignment horizontal="right"/>
    </xf>
    <xf numFmtId="0" fontId="1" fillId="0" borderId="52" xfId="0" applyFont="1" applyBorder="1" applyAlignment="1">
      <alignment horizontal="right"/>
    </xf>
    <xf numFmtId="0" fontId="1" fillId="0" borderId="53" xfId="0" applyFont="1" applyBorder="1" applyAlignment="1">
      <alignment horizontal="right"/>
    </xf>
    <xf numFmtId="0" fontId="1" fillId="0" borderId="54" xfId="0" applyFont="1" applyBorder="1" applyAlignment="1">
      <alignment horizontal="right"/>
    </xf>
    <xf numFmtId="0" fontId="1" fillId="0" borderId="55" xfId="0" applyFont="1" applyBorder="1" applyAlignment="1">
      <alignment horizontal="right"/>
    </xf>
    <xf numFmtId="0" fontId="1" fillId="0" borderId="56" xfId="0" applyFont="1" applyBorder="1" applyAlignment="1">
      <alignment horizontal="right"/>
    </xf>
    <xf numFmtId="0" fontId="1" fillId="0" borderId="57" xfId="0" applyFont="1" applyBorder="1" applyAlignment="1">
      <alignment horizontal="right"/>
    </xf>
    <xf numFmtId="0" fontId="1" fillId="0" borderId="58" xfId="0" applyFont="1" applyBorder="1" applyAlignment="1">
      <alignment horizontal="right"/>
    </xf>
    <xf numFmtId="0" fontId="1" fillId="0" borderId="59" xfId="0" applyFont="1" applyBorder="1" applyAlignment="1">
      <alignment horizontal="left"/>
    </xf>
    <xf numFmtId="0" fontId="1" fillId="0" borderId="59" xfId="0" applyFont="1" applyBorder="1" applyAlignment="1">
      <alignment horizontal="right"/>
    </xf>
    <xf numFmtId="0" fontId="1" fillId="0" borderId="24" xfId="0" applyFont="1" applyBorder="1" applyAlignment="1">
      <alignment horizontal="right"/>
    </xf>
    <xf numFmtId="0" fontId="6" fillId="2" borderId="35" xfId="0" applyFont="1" applyBorder="1" applyAlignment="1">
      <alignment horizontal="right"/>
    </xf>
    <xf numFmtId="0" fontId="6" fillId="2" borderId="36" xfId="0" applyFont="1" applyBorder="1" applyAlignment="1">
      <alignment horizontal="right"/>
    </xf>
    <xf numFmtId="0" fontId="1" fillId="0" borderId="1" xfId="0" applyFont="1" applyBorder="1" applyAlignment="1">
      <alignment horizontal="left"/>
    </xf>
    <xf numFmtId="0" fontId="1" fillId="0" borderId="1" xfId="0" applyFont="1" applyBorder="1" applyAlignment="1">
      <alignment horizontal="left" vertical="top"/>
    </xf>
    <xf numFmtId="0" fontId="1" fillId="0" borderId="60" xfId="0" applyFont="1" applyBorder="1" applyAlignment="1">
      <alignment horizontal="left" vertical="top" wrapText="1"/>
    </xf>
    <xf numFmtId="0" fontId="7" fillId="0" borderId="61" xfId="0" applyFont="1" applyBorder="1" applyAlignment="1">
      <alignment/>
    </xf>
    <xf numFmtId="0" fontId="7" fillId="0" borderId="62" xfId="0" applyFont="1" applyBorder="1" applyAlignment="1">
      <alignment/>
    </xf>
    <xf numFmtId="0" fontId="1" fillId="0" borderId="10" xfId="0" applyFont="1" applyBorder="1" applyAlignment="1">
      <alignment wrapText="1"/>
    </xf>
    <xf numFmtId="0" fontId="1" fillId="0" borderId="63" xfId="0" applyFont="1" applyBorder="1" applyAlignment="1">
      <alignment horizontal="left" vertical="top" wrapText="1"/>
    </xf>
    <xf numFmtId="0" fontId="1" fillId="0" borderId="64" xfId="0" applyFont="1" applyBorder="1" applyAlignment="1">
      <alignment horizontal="left" vertical="top" wrapText="1"/>
    </xf>
    <xf numFmtId="0" fontId="7" fillId="0" borderId="65" xfId="0" applyFont="1" applyBorder="1" applyAlignment="1">
      <alignment/>
    </xf>
    <xf numFmtId="0" fontId="7" fillId="0" borderId="66" xfId="0" applyFont="1" applyBorder="1" applyAlignment="1">
      <alignment/>
    </xf>
    <xf numFmtId="0" fontId="1" fillId="0" borderId="50" xfId="0" applyFont="1" applyBorder="1" applyAlignment="1">
      <alignment horizontal="left"/>
    </xf>
    <xf numFmtId="0" fontId="1" fillId="0" borderId="50" xfId="0" applyFont="1" applyBorder="1" applyAlignment="1">
      <alignment/>
    </xf>
    <xf numFmtId="0" fontId="1" fillId="0" borderId="5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0000A0"/>
      <rgbColor rgb="00EEBD15"/>
      <rgbColor rgb="008AA7D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M85"/>
  <sheetViews>
    <sheetView tabSelected="1" workbookViewId="0" topLeftCell="A1">
      <selection activeCell="A1" sqref="A1"/>
    </sheetView>
  </sheetViews>
  <sheetFormatPr defaultColWidth="9.140625" defaultRowHeight="12.75" outlineLevelRow="1"/>
  <cols>
    <col min="1" max="1" width="4.00390625" style="0" bestFit="1" customWidth="1"/>
    <col min="2" max="2" width="32.28125" style="0" bestFit="1" customWidth="1"/>
    <col min="3" max="3" width="18.8515625" style="0" bestFit="1" customWidth="1"/>
    <col min="4" max="4" width="13.421875" style="0" bestFit="1" customWidth="1"/>
    <col min="5" max="5" width="14.57421875" style="0" bestFit="1" customWidth="1"/>
    <col min="6" max="6" width="17.7109375" style="0" bestFit="1" customWidth="1"/>
    <col min="7" max="7" width="18.8515625" style="0" bestFit="1" customWidth="1"/>
    <col min="8" max="8" width="13.421875" style="0" bestFit="1" customWidth="1"/>
    <col min="9" max="9" width="11.140625" style="0" bestFit="1" customWidth="1"/>
    <col min="10" max="10" width="14.7109375" style="0" bestFit="1" customWidth="1"/>
    <col min="11" max="12" width="16.7109375" style="0" bestFit="1" customWidth="1"/>
    <col min="13" max="13" width="23.57421875" style="0" bestFit="1" customWidth="1"/>
    <col min="14" max="14" width="10.57421875" style="0" bestFit="1" customWidth="1"/>
    <col min="15" max="15" width="24.7109375" style="0" bestFit="1" customWidth="1"/>
    <col min="16" max="16" width="27.140625" style="0" bestFit="1" customWidth="1"/>
    <col min="17" max="18" width="13.421875" style="0" bestFit="1" customWidth="1"/>
    <col min="19" max="19" width="14.140625" style="0" bestFit="1" customWidth="1"/>
    <col min="20" max="20" width="13.421875" style="0" bestFit="1" customWidth="1"/>
    <col min="21" max="21" width="15.8515625" style="0" bestFit="1" customWidth="1"/>
    <col min="22" max="22" width="17.28125" style="0" bestFit="1" customWidth="1"/>
    <col min="23" max="28" width="12.7109375" style="0" bestFit="1" customWidth="1"/>
    <col min="29" max="29" width="3.7109375" style="0" bestFit="1" customWidth="1"/>
    <col min="30" max="30" width="30.8515625" style="0" bestFit="1" customWidth="1"/>
    <col min="31" max="39" width="17.28125" style="0" bestFit="1" customWidth="1"/>
  </cols>
  <sheetData>
    <row r="1" spans="1:39" ht="13.5" customHeight="1">
      <c r="A1" s="1"/>
      <c r="B1" s="2" t="s">
        <v>0</v>
      </c>
      <c r="C1" s="3"/>
      <c r="D1" s="3"/>
      <c r="E1" s="3"/>
      <c r="F1" s="3"/>
      <c r="G1" s="4"/>
      <c r="H1" s="4"/>
      <c r="I1" s="4"/>
      <c r="J1" s="3"/>
      <c r="K1" s="4"/>
      <c r="L1" s="4"/>
      <c r="M1" s="4"/>
      <c r="N1" s="3"/>
      <c r="O1" s="3"/>
      <c r="P1" s="4"/>
      <c r="Q1" s="4"/>
      <c r="R1" s="4"/>
      <c r="S1" s="4"/>
      <c r="T1" s="4"/>
      <c r="U1" s="4"/>
      <c r="V1" s="3"/>
      <c r="W1" s="3"/>
      <c r="X1" s="3"/>
      <c r="Y1" s="3"/>
      <c r="Z1" s="3"/>
      <c r="AA1" s="3"/>
      <c r="AB1" s="3"/>
      <c r="AC1" s="3"/>
      <c r="AD1" s="3"/>
      <c r="AE1" s="3"/>
      <c r="AF1" s="3"/>
      <c r="AG1" s="3"/>
      <c r="AH1" s="3"/>
      <c r="AI1" s="3"/>
      <c r="AJ1" s="3"/>
      <c r="AK1" s="3"/>
      <c r="AL1" s="3"/>
      <c r="AM1" s="3"/>
    </row>
    <row r="2" spans="1:39" ht="13.5" customHeight="1" outlineLevel="1">
      <c r="A2" s="5"/>
      <c r="B2" s="6" t="s">
        <v>1</v>
      </c>
      <c r="C2" s="7"/>
      <c r="D2" s="7"/>
      <c r="E2" s="7"/>
      <c r="F2" s="7"/>
      <c r="G2" s="8"/>
      <c r="H2" s="8"/>
      <c r="I2" s="8"/>
      <c r="J2" s="7"/>
      <c r="K2" s="8"/>
      <c r="L2" s="8"/>
      <c r="M2" s="8"/>
      <c r="N2" s="7"/>
      <c r="O2" s="7"/>
      <c r="P2" s="8"/>
      <c r="Q2" s="8"/>
      <c r="R2" s="8"/>
      <c r="S2" s="8"/>
      <c r="T2" s="8"/>
      <c r="U2" s="8"/>
      <c r="V2" s="7"/>
      <c r="W2" s="7"/>
      <c r="X2" s="7"/>
      <c r="Y2" s="7"/>
      <c r="Z2" s="7"/>
      <c r="AA2" s="7"/>
      <c r="AB2" s="7"/>
      <c r="AC2" s="7"/>
      <c r="AD2" s="7"/>
      <c r="AE2" s="7"/>
      <c r="AF2" s="7"/>
      <c r="AG2" s="7"/>
      <c r="AH2" s="7"/>
      <c r="AI2" s="7"/>
      <c r="AJ2" s="7"/>
      <c r="AK2" s="7"/>
      <c r="AL2" s="7"/>
      <c r="AM2" s="7"/>
    </row>
    <row r="3" spans="1:39" ht="13.5" customHeight="1" outlineLevel="1">
      <c r="A3" s="9"/>
      <c r="B3" s="10" t="s">
        <v>0</v>
      </c>
      <c r="C3" s="10"/>
      <c r="D3" s="10"/>
      <c r="E3" s="10"/>
      <c r="F3" s="10"/>
      <c r="G3" s="11"/>
      <c r="H3" s="11"/>
      <c r="I3" s="11"/>
      <c r="J3" s="10"/>
      <c r="K3" s="11"/>
      <c r="L3" s="11"/>
      <c r="M3" s="11"/>
      <c r="N3" s="10"/>
      <c r="O3" s="10"/>
      <c r="P3" s="11"/>
      <c r="Q3" s="11"/>
      <c r="R3" s="11"/>
      <c r="S3" s="11"/>
      <c r="T3" s="11"/>
      <c r="U3" s="11"/>
      <c r="V3" s="10"/>
      <c r="W3" s="10"/>
      <c r="X3" s="10"/>
      <c r="Y3" s="10"/>
      <c r="Z3" s="10"/>
      <c r="AA3" s="10"/>
      <c r="AB3" s="10"/>
      <c r="AC3" s="10"/>
      <c r="AD3" s="10"/>
      <c r="AE3" s="10"/>
      <c r="AF3" s="10"/>
      <c r="AG3" s="10"/>
      <c r="AH3" s="10"/>
      <c r="AI3" s="10"/>
      <c r="AJ3" s="10"/>
      <c r="AK3" s="10"/>
      <c r="AL3" s="10"/>
      <c r="AM3" s="10"/>
    </row>
    <row r="4" spans="1:39" ht="13.5" customHeight="1" outlineLevel="1">
      <c r="A4" s="12"/>
      <c r="B4" s="2" t="s">
        <v>2</v>
      </c>
      <c r="C4" s="3"/>
      <c r="D4" s="3"/>
      <c r="E4" s="3"/>
      <c r="F4" s="3"/>
      <c r="G4" s="4"/>
      <c r="H4" s="4"/>
      <c r="I4" s="4"/>
      <c r="J4" s="3"/>
      <c r="K4" s="4"/>
      <c r="L4" s="4"/>
      <c r="M4" s="4"/>
      <c r="N4" s="3"/>
      <c r="O4" s="3"/>
      <c r="P4" s="4"/>
      <c r="Q4" s="4"/>
      <c r="R4" s="4"/>
      <c r="S4" s="4"/>
      <c r="T4" s="4"/>
      <c r="U4" s="4"/>
      <c r="V4" s="3"/>
      <c r="W4" s="3"/>
      <c r="X4" s="3"/>
      <c r="Y4" s="3"/>
      <c r="Z4" s="3"/>
      <c r="AA4" s="3"/>
      <c r="AB4" s="3"/>
      <c r="AC4" s="3"/>
      <c r="AD4" s="3"/>
      <c r="AE4" s="3"/>
      <c r="AF4" s="3"/>
      <c r="AG4" s="3"/>
      <c r="AH4" s="3"/>
      <c r="AI4" s="3"/>
      <c r="AJ4" s="3"/>
      <c r="AK4" s="3"/>
      <c r="AL4" s="3"/>
      <c r="AM4" s="3"/>
    </row>
    <row r="5" spans="1:39" ht="13.5" customHeight="1" outlineLevel="1">
      <c r="A5" s="12"/>
      <c r="B5" s="2" t="s">
        <v>3</v>
      </c>
      <c r="C5" s="3"/>
      <c r="D5" s="3"/>
      <c r="E5" s="3"/>
      <c r="F5" s="3"/>
      <c r="G5" s="4"/>
      <c r="H5" s="4"/>
      <c r="I5" s="4"/>
      <c r="J5" s="3"/>
      <c r="K5" s="4"/>
      <c r="L5" s="4"/>
      <c r="M5" s="4"/>
      <c r="N5" s="3"/>
      <c r="O5" s="3"/>
      <c r="P5" s="4"/>
      <c r="Q5" s="4"/>
      <c r="R5" s="4"/>
      <c r="S5" s="4"/>
      <c r="T5" s="4"/>
      <c r="U5" s="4"/>
      <c r="V5" s="3"/>
      <c r="W5" s="3"/>
      <c r="X5" s="3"/>
      <c r="Y5" s="3"/>
      <c r="Z5" s="3"/>
      <c r="AA5" s="3"/>
      <c r="AB5" s="3"/>
      <c r="AC5" s="3"/>
      <c r="AD5" s="3"/>
      <c r="AE5" s="3"/>
      <c r="AF5" s="3"/>
      <c r="AG5" s="3"/>
      <c r="AH5" s="3"/>
      <c r="AI5" s="3"/>
      <c r="AJ5" s="3"/>
      <c r="AK5" s="3"/>
      <c r="AL5" s="3"/>
      <c r="AM5" s="3"/>
    </row>
    <row r="6" spans="1:39" ht="13.5" customHeight="1" outlineLevel="1">
      <c r="A6" s="12"/>
      <c r="B6" s="2" t="s">
        <v>0</v>
      </c>
      <c r="C6" s="3"/>
      <c r="D6" s="3"/>
      <c r="E6" s="3"/>
      <c r="F6" s="3"/>
      <c r="G6" s="4"/>
      <c r="H6" s="4"/>
      <c r="I6" s="4"/>
      <c r="J6" s="3"/>
      <c r="K6" s="4"/>
      <c r="L6" s="4"/>
      <c r="M6" s="4"/>
      <c r="N6" s="3"/>
      <c r="O6" s="3"/>
      <c r="P6" s="4"/>
      <c r="Q6" s="4"/>
      <c r="R6" s="4"/>
      <c r="S6" s="4"/>
      <c r="T6" s="4"/>
      <c r="U6" s="4"/>
      <c r="V6" s="3"/>
      <c r="W6" s="3"/>
      <c r="X6" s="3"/>
      <c r="Y6" s="3"/>
      <c r="Z6" s="3"/>
      <c r="AA6" s="3"/>
      <c r="AB6" s="3"/>
      <c r="AC6" s="3"/>
      <c r="AD6" s="3"/>
      <c r="AE6" s="3"/>
      <c r="AF6" s="3"/>
      <c r="AG6" s="3"/>
      <c r="AH6" s="3"/>
      <c r="AI6" s="3"/>
      <c r="AJ6" s="3"/>
      <c r="AK6" s="3"/>
      <c r="AL6" s="3"/>
      <c r="AM6" s="3"/>
    </row>
    <row r="7" spans="1:39" ht="13.5" customHeight="1" outlineLevel="1">
      <c r="A7" s="12"/>
      <c r="B7" s="2" t="s">
        <v>4</v>
      </c>
      <c r="C7" s="3"/>
      <c r="D7" s="3"/>
      <c r="E7" s="3"/>
      <c r="F7" s="3"/>
      <c r="G7" s="4"/>
      <c r="H7" s="4"/>
      <c r="I7" s="4"/>
      <c r="J7" s="3"/>
      <c r="K7" s="4"/>
      <c r="L7" s="4"/>
      <c r="M7" s="4"/>
      <c r="N7" s="3"/>
      <c r="O7" s="3"/>
      <c r="P7" s="4"/>
      <c r="Q7" s="4"/>
      <c r="R7" s="4"/>
      <c r="S7" s="4"/>
      <c r="T7" s="4"/>
      <c r="U7" s="4"/>
      <c r="V7" s="3"/>
      <c r="W7" s="3"/>
      <c r="X7" s="3"/>
      <c r="Y7" s="3"/>
      <c r="Z7" s="3"/>
      <c r="AA7" s="3"/>
      <c r="AB7" s="3"/>
      <c r="AC7" s="3"/>
      <c r="AD7" s="3"/>
      <c r="AE7" s="3"/>
      <c r="AF7" s="3"/>
      <c r="AG7" s="3"/>
      <c r="AH7" s="3"/>
      <c r="AI7" s="3"/>
      <c r="AJ7" s="3"/>
      <c r="AK7" s="3"/>
      <c r="AL7" s="3"/>
      <c r="AM7" s="3"/>
    </row>
    <row r="8" spans="1:39" ht="13.5" customHeight="1" outlineLevel="1">
      <c r="A8" s="12"/>
      <c r="B8" s="2" t="s">
        <v>5</v>
      </c>
      <c r="C8" s="13" t="s">
        <v>6</v>
      </c>
      <c r="D8" s="3"/>
      <c r="E8" s="3"/>
      <c r="F8" s="3"/>
      <c r="G8" s="4"/>
      <c r="H8" s="4"/>
      <c r="I8" s="4"/>
      <c r="J8" s="3"/>
      <c r="K8" s="4"/>
      <c r="L8" s="4"/>
      <c r="M8" s="4"/>
      <c r="N8" s="3"/>
      <c r="O8" s="3"/>
      <c r="P8" s="4"/>
      <c r="Q8" s="4"/>
      <c r="R8" s="4"/>
      <c r="S8" s="4"/>
      <c r="T8" s="4"/>
      <c r="U8" s="4"/>
      <c r="V8" s="3"/>
      <c r="W8" s="3"/>
      <c r="X8" s="3"/>
      <c r="Y8" s="3"/>
      <c r="Z8" s="3"/>
      <c r="AA8" s="3"/>
      <c r="AB8" s="3"/>
      <c r="AC8" s="3"/>
      <c r="AD8" s="3"/>
      <c r="AE8" s="3"/>
      <c r="AF8" s="3"/>
      <c r="AG8" s="3"/>
      <c r="AH8" s="3"/>
      <c r="AI8" s="3"/>
      <c r="AJ8" s="3"/>
      <c r="AK8" s="3"/>
      <c r="AL8" s="3"/>
      <c r="AM8" s="3"/>
    </row>
    <row r="9" spans="1:39" ht="13.5" customHeight="1" outlineLevel="1">
      <c r="A9" s="12"/>
      <c r="B9" s="2" t="s">
        <v>7</v>
      </c>
      <c r="C9" s="13" t="s">
        <v>8</v>
      </c>
      <c r="D9" s="3"/>
      <c r="E9" s="3"/>
      <c r="F9" s="3"/>
      <c r="G9" s="4"/>
      <c r="H9" s="4"/>
      <c r="I9" s="4"/>
      <c r="J9" s="3"/>
      <c r="K9" s="4"/>
      <c r="L9" s="4"/>
      <c r="M9" s="4"/>
      <c r="N9" s="3"/>
      <c r="O9" s="3"/>
      <c r="P9" s="4"/>
      <c r="Q9" s="4"/>
      <c r="R9" s="4"/>
      <c r="S9" s="4"/>
      <c r="T9" s="4"/>
      <c r="U9" s="4"/>
      <c r="V9" s="3"/>
      <c r="W9" s="3"/>
      <c r="X9" s="3"/>
      <c r="Y9" s="3"/>
      <c r="Z9" s="3"/>
      <c r="AA9" s="3"/>
      <c r="AB9" s="3"/>
      <c r="AC9" s="3"/>
      <c r="AD9" s="3"/>
      <c r="AE9" s="3"/>
      <c r="AF9" s="3"/>
      <c r="AG9" s="3"/>
      <c r="AH9" s="3"/>
      <c r="AI9" s="3"/>
      <c r="AJ9" s="3"/>
      <c r="AK9" s="3"/>
      <c r="AL9" s="3"/>
      <c r="AM9" s="3"/>
    </row>
    <row r="10" spans="1:39" ht="19.5" customHeight="1" outlineLevel="1">
      <c r="A10" s="14"/>
      <c r="B10" s="6" t="s">
        <v>9</v>
      </c>
      <c r="C10" s="15"/>
      <c r="D10" s="15"/>
      <c r="E10" s="15"/>
      <c r="F10" s="15"/>
      <c r="G10" s="16"/>
      <c r="H10" s="16"/>
      <c r="I10" s="16"/>
      <c r="J10" s="15"/>
      <c r="K10" s="16"/>
      <c r="L10" s="16"/>
      <c r="M10" s="16"/>
      <c r="N10" s="15"/>
      <c r="O10" s="15"/>
      <c r="P10" s="16"/>
      <c r="Q10" s="16"/>
      <c r="R10" s="16"/>
      <c r="S10" s="16"/>
      <c r="T10" s="16"/>
      <c r="U10" s="16"/>
      <c r="V10" s="15"/>
      <c r="W10" s="15"/>
      <c r="X10" s="15"/>
      <c r="Y10" s="15"/>
      <c r="Z10" s="15"/>
      <c r="AA10" s="15"/>
      <c r="AB10" s="15"/>
      <c r="AC10" s="15"/>
      <c r="AD10" s="15"/>
      <c r="AE10" s="15"/>
      <c r="AF10" s="15"/>
      <c r="AG10" s="15"/>
      <c r="AH10" s="15"/>
      <c r="AI10" s="15"/>
      <c r="AJ10" s="15"/>
      <c r="AK10" s="15"/>
      <c r="AL10" s="15"/>
      <c r="AM10" s="15"/>
    </row>
    <row r="11" spans="1:39" ht="13.5" customHeight="1" outlineLevel="1">
      <c r="A11" s="1"/>
      <c r="B11" s="17" t="s">
        <v>0</v>
      </c>
      <c r="C11" s="3"/>
      <c r="D11" s="3"/>
      <c r="E11" s="3"/>
      <c r="F11" s="3"/>
      <c r="G11" s="4"/>
      <c r="H11" s="4"/>
      <c r="I11" s="4"/>
      <c r="J11" s="3"/>
      <c r="K11" s="4"/>
      <c r="L11" s="4"/>
      <c r="M11" s="4"/>
      <c r="N11" s="3"/>
      <c r="O11" s="3"/>
      <c r="P11" s="4"/>
      <c r="Q11" s="4"/>
      <c r="R11" s="4"/>
      <c r="S11" s="4"/>
      <c r="T11" s="4"/>
      <c r="U11" s="4"/>
      <c r="V11" s="3"/>
      <c r="W11" s="3"/>
      <c r="X11" s="3"/>
      <c r="Y11" s="3"/>
      <c r="Z11" s="3"/>
      <c r="AA11" s="3"/>
      <c r="AB11" s="3"/>
      <c r="AC11" s="3"/>
      <c r="AD11" s="3"/>
      <c r="AE11" s="3"/>
      <c r="AF11" s="3"/>
      <c r="AG11" s="3"/>
      <c r="AH11" s="3"/>
      <c r="AI11" s="3"/>
      <c r="AJ11" s="3"/>
      <c r="AK11" s="3"/>
      <c r="AL11" s="3"/>
      <c r="AM11" s="3"/>
    </row>
    <row r="12" spans="1:39" ht="23.25" customHeight="1" outlineLevel="1">
      <c r="A12" s="1"/>
      <c r="B12" s="18" t="s">
        <v>10</v>
      </c>
      <c r="C12" s="19" t="s">
        <v>11</v>
      </c>
      <c r="D12" s="3"/>
      <c r="E12" s="3"/>
      <c r="F12" s="3"/>
      <c r="G12" s="4"/>
      <c r="H12" s="4"/>
      <c r="I12" s="4"/>
      <c r="J12" s="3"/>
      <c r="K12" s="4"/>
      <c r="L12" s="4"/>
      <c r="M12" s="4"/>
      <c r="N12" s="3"/>
      <c r="O12" s="3"/>
      <c r="P12" s="4"/>
      <c r="Q12" s="4"/>
      <c r="R12" s="4"/>
      <c r="S12" s="4"/>
      <c r="T12" s="4"/>
      <c r="U12" s="4"/>
      <c r="V12" s="3"/>
      <c r="W12" s="3"/>
      <c r="X12" s="3"/>
      <c r="Y12" s="3"/>
      <c r="Z12" s="3"/>
      <c r="AA12" s="3"/>
      <c r="AB12" s="3"/>
      <c r="AC12" s="3"/>
      <c r="AD12" s="3"/>
      <c r="AE12" s="3"/>
      <c r="AF12" s="3"/>
      <c r="AG12" s="3"/>
      <c r="AH12" s="3"/>
      <c r="AI12" s="3"/>
      <c r="AJ12" s="3"/>
      <c r="AK12" s="3"/>
      <c r="AL12" s="3"/>
      <c r="AM12" s="3"/>
    </row>
    <row r="13" spans="1:39" ht="13.5" customHeight="1" outlineLevel="1">
      <c r="A13" s="1"/>
      <c r="B13" s="20" t="s">
        <v>12</v>
      </c>
      <c r="C13" s="21" t="s">
        <v>13</v>
      </c>
      <c r="D13" s="3"/>
      <c r="E13" s="3"/>
      <c r="F13" s="3"/>
      <c r="G13" s="4"/>
      <c r="H13" s="4"/>
      <c r="I13" s="4"/>
      <c r="J13" s="3"/>
      <c r="K13" s="4"/>
      <c r="L13" s="4"/>
      <c r="M13" s="4"/>
      <c r="N13" s="3"/>
      <c r="O13" s="3"/>
      <c r="P13" s="4"/>
      <c r="Q13" s="4"/>
      <c r="R13" s="4"/>
      <c r="S13" s="4"/>
      <c r="T13" s="4"/>
      <c r="U13" s="4"/>
      <c r="V13" s="3"/>
      <c r="W13" s="3"/>
      <c r="X13" s="3"/>
      <c r="Y13" s="3"/>
      <c r="Z13" s="3"/>
      <c r="AA13" s="3"/>
      <c r="AB13" s="3"/>
      <c r="AC13" s="3"/>
      <c r="AD13" s="3"/>
      <c r="AE13" s="3"/>
      <c r="AF13" s="3"/>
      <c r="AG13" s="3"/>
      <c r="AH13" s="3"/>
      <c r="AI13" s="3"/>
      <c r="AJ13" s="3"/>
      <c r="AK13" s="3"/>
      <c r="AL13" s="3"/>
      <c r="AM13" s="3"/>
    </row>
    <row r="14" spans="1:39" ht="13.5" customHeight="1" outlineLevel="1">
      <c r="A14" s="1"/>
      <c r="B14" s="20" t="s">
        <v>14</v>
      </c>
      <c r="C14" s="21" t="s">
        <v>15</v>
      </c>
      <c r="D14" s="3"/>
      <c r="E14" s="3"/>
      <c r="F14" s="3"/>
      <c r="G14" s="4"/>
      <c r="H14" s="4"/>
      <c r="I14" s="4"/>
      <c r="J14" s="3"/>
      <c r="K14" s="4"/>
      <c r="L14" s="4"/>
      <c r="M14" s="4"/>
      <c r="N14" s="3"/>
      <c r="O14" s="3"/>
      <c r="P14" s="4"/>
      <c r="Q14" s="4"/>
      <c r="R14" s="4"/>
      <c r="S14" s="4"/>
      <c r="T14" s="4"/>
      <c r="U14" s="4"/>
      <c r="V14" s="3"/>
      <c r="W14" s="3"/>
      <c r="X14" s="3"/>
      <c r="Y14" s="3"/>
      <c r="Z14" s="3"/>
      <c r="AA14" s="3"/>
      <c r="AB14" s="3"/>
      <c r="AC14" s="3"/>
      <c r="AD14" s="3"/>
      <c r="AE14" s="3"/>
      <c r="AF14" s="3"/>
      <c r="AG14" s="3"/>
      <c r="AH14" s="3"/>
      <c r="AI14" s="3"/>
      <c r="AJ14" s="3"/>
      <c r="AK14" s="3"/>
      <c r="AL14" s="3"/>
      <c r="AM14" s="3"/>
    </row>
    <row r="15" spans="1:39" ht="13.5" customHeight="1" outlineLevel="1">
      <c r="A15" s="1"/>
      <c r="B15" s="20" t="s">
        <v>16</v>
      </c>
      <c r="C15" s="21" t="s">
        <v>17</v>
      </c>
      <c r="D15" s="3"/>
      <c r="E15" s="3"/>
      <c r="F15" s="3"/>
      <c r="G15" s="4"/>
      <c r="H15" s="4"/>
      <c r="I15" s="4"/>
      <c r="J15" s="3"/>
      <c r="K15" s="4"/>
      <c r="L15" s="4"/>
      <c r="M15" s="4"/>
      <c r="N15" s="3"/>
      <c r="O15" s="3"/>
      <c r="P15" s="4"/>
      <c r="Q15" s="4"/>
      <c r="R15" s="4"/>
      <c r="S15" s="4"/>
      <c r="T15" s="4"/>
      <c r="U15" s="4"/>
      <c r="V15" s="3"/>
      <c r="W15" s="3"/>
      <c r="X15" s="3"/>
      <c r="Y15" s="3"/>
      <c r="Z15" s="3"/>
      <c r="AA15" s="3"/>
      <c r="AB15" s="3"/>
      <c r="AC15" s="3"/>
      <c r="AD15" s="3"/>
      <c r="AE15" s="3"/>
      <c r="AF15" s="3"/>
      <c r="AG15" s="3"/>
      <c r="AH15" s="3"/>
      <c r="AI15" s="3"/>
      <c r="AJ15" s="3"/>
      <c r="AK15" s="3"/>
      <c r="AL15" s="3"/>
      <c r="AM15" s="3"/>
    </row>
    <row r="16" spans="1:39" ht="13.5" customHeight="1" outlineLevel="1">
      <c r="A16" s="1"/>
      <c r="B16" s="20" t="s">
        <v>18</v>
      </c>
      <c r="C16" s="22">
        <v>142623</v>
      </c>
      <c r="D16" s="3"/>
      <c r="E16" s="3"/>
      <c r="F16" s="3"/>
      <c r="G16" s="4"/>
      <c r="H16" s="4"/>
      <c r="I16" s="4"/>
      <c r="J16" s="3"/>
      <c r="K16" s="4"/>
      <c r="L16" s="4"/>
      <c r="M16" s="4"/>
      <c r="N16" s="3"/>
      <c r="O16" s="3"/>
      <c r="P16" s="4"/>
      <c r="Q16" s="4"/>
      <c r="R16" s="4"/>
      <c r="S16" s="4"/>
      <c r="T16" s="4"/>
      <c r="U16" s="4"/>
      <c r="V16" s="3"/>
      <c r="W16" s="3"/>
      <c r="X16" s="3"/>
      <c r="Y16" s="3"/>
      <c r="Z16" s="3"/>
      <c r="AA16" s="3"/>
      <c r="AB16" s="3"/>
      <c r="AC16" s="3"/>
      <c r="AD16" s="3"/>
      <c r="AE16" s="3"/>
      <c r="AF16" s="3"/>
      <c r="AG16" s="3"/>
      <c r="AH16" s="3"/>
      <c r="AI16" s="3"/>
      <c r="AJ16" s="3"/>
      <c r="AK16" s="3"/>
      <c r="AL16" s="3"/>
      <c r="AM16" s="3"/>
    </row>
    <row r="17" spans="1:39" ht="13.5" customHeight="1" outlineLevel="1">
      <c r="A17" s="1"/>
      <c r="B17" s="20" t="s">
        <v>19</v>
      </c>
      <c r="C17" s="22">
        <v>250481.47</v>
      </c>
      <c r="D17" s="3"/>
      <c r="E17" s="3"/>
      <c r="F17" s="3"/>
      <c r="G17" s="4"/>
      <c r="H17" s="4"/>
      <c r="I17" s="4"/>
      <c r="J17" s="3"/>
      <c r="K17" s="4"/>
      <c r="L17" s="4"/>
      <c r="M17" s="4"/>
      <c r="N17" s="3"/>
      <c r="O17" s="3"/>
      <c r="P17" s="4"/>
      <c r="Q17" s="4"/>
      <c r="R17" s="4"/>
      <c r="S17" s="4"/>
      <c r="T17" s="4"/>
      <c r="U17" s="4"/>
      <c r="V17" s="3"/>
      <c r="W17" s="3"/>
      <c r="X17" s="3"/>
      <c r="Y17" s="3"/>
      <c r="Z17" s="3"/>
      <c r="AA17" s="3"/>
      <c r="AB17" s="3"/>
      <c r="AC17" s="3"/>
      <c r="AD17" s="3"/>
      <c r="AE17" s="3"/>
      <c r="AF17" s="3"/>
      <c r="AG17" s="3"/>
      <c r="AH17" s="3"/>
      <c r="AI17" s="3"/>
      <c r="AJ17" s="3"/>
      <c r="AK17" s="3"/>
      <c r="AL17" s="3"/>
      <c r="AM17" s="3"/>
    </row>
    <row r="18" spans="1:39" ht="13.5" customHeight="1" outlineLevel="1">
      <c r="A18" s="1"/>
      <c r="B18" s="20" t="s">
        <v>20</v>
      </c>
      <c r="C18" s="21">
        <v>90948.29999999999</v>
      </c>
      <c r="D18" s="3"/>
      <c r="E18" s="3"/>
      <c r="F18" s="3"/>
      <c r="G18" s="4"/>
      <c r="H18" s="4"/>
      <c r="I18" s="4"/>
      <c r="J18" s="3"/>
      <c r="K18" s="4"/>
      <c r="L18" s="4"/>
      <c r="M18" s="4"/>
      <c r="N18" s="3"/>
      <c r="O18" s="3"/>
      <c r="P18" s="4"/>
      <c r="Q18" s="4"/>
      <c r="R18" s="4"/>
      <c r="S18" s="4"/>
      <c r="T18" s="4"/>
      <c r="U18" s="4"/>
      <c r="V18" s="3"/>
      <c r="W18" s="3"/>
      <c r="X18" s="3"/>
      <c r="Y18" s="3"/>
      <c r="Z18" s="3"/>
      <c r="AA18" s="3"/>
      <c r="AB18" s="3"/>
      <c r="AC18" s="3"/>
      <c r="AD18" s="3"/>
      <c r="AE18" s="3"/>
      <c r="AF18" s="3"/>
      <c r="AG18" s="3"/>
      <c r="AH18" s="3"/>
      <c r="AI18" s="3"/>
      <c r="AJ18" s="3"/>
      <c r="AK18" s="3"/>
      <c r="AL18" s="3"/>
      <c r="AM18" s="3"/>
    </row>
    <row r="19" spans="1:39" ht="13.5" customHeight="1" outlineLevel="1">
      <c r="A19" s="1"/>
      <c r="B19" s="20" t="s">
        <v>21</v>
      </c>
      <c r="C19" s="22">
        <v>1.7562</v>
      </c>
      <c r="D19" s="3"/>
      <c r="E19" s="3"/>
      <c r="F19" s="3"/>
      <c r="G19" s="4"/>
      <c r="H19" s="4"/>
      <c r="I19" s="4"/>
      <c r="J19" s="3"/>
      <c r="K19" s="4"/>
      <c r="L19" s="4"/>
      <c r="M19" s="4"/>
      <c r="N19" s="3"/>
      <c r="O19" s="3"/>
      <c r="P19" s="4"/>
      <c r="Q19" s="4"/>
      <c r="R19" s="4"/>
      <c r="S19" s="4"/>
      <c r="T19" s="4"/>
      <c r="U19" s="4"/>
      <c r="V19" s="3"/>
      <c r="W19" s="3"/>
      <c r="X19" s="3"/>
      <c r="Y19" s="3"/>
      <c r="Z19" s="3"/>
      <c r="AA19" s="3"/>
      <c r="AB19" s="3"/>
      <c r="AC19" s="3"/>
      <c r="AD19" s="3"/>
      <c r="AE19" s="3"/>
      <c r="AF19" s="3"/>
      <c r="AG19" s="3"/>
      <c r="AH19" s="3"/>
      <c r="AI19" s="3"/>
      <c r="AJ19" s="3"/>
      <c r="AK19" s="3"/>
      <c r="AL19" s="3"/>
      <c r="AM19" s="3"/>
    </row>
    <row r="20" spans="1:39" ht="19.5" customHeight="1" outlineLevel="1">
      <c r="A20" s="1"/>
      <c r="B20" s="23" t="s">
        <v>22</v>
      </c>
      <c r="C20" s="24" t="s">
        <v>23</v>
      </c>
      <c r="D20" s="3"/>
      <c r="E20" s="3"/>
      <c r="F20" s="3"/>
      <c r="G20" s="4"/>
      <c r="H20" s="4"/>
      <c r="I20" s="4"/>
      <c r="J20" s="3"/>
      <c r="K20" s="4"/>
      <c r="L20" s="4"/>
      <c r="M20" s="4"/>
      <c r="N20" s="3"/>
      <c r="O20" s="3"/>
      <c r="P20" s="4"/>
      <c r="Q20" s="4"/>
      <c r="R20" s="4"/>
      <c r="S20" s="4"/>
      <c r="T20" s="4"/>
      <c r="U20" s="4"/>
      <c r="V20" s="3"/>
      <c r="W20" s="3"/>
      <c r="X20" s="3"/>
      <c r="Y20" s="3"/>
      <c r="Z20" s="3"/>
      <c r="AA20" s="3"/>
      <c r="AB20" s="3"/>
      <c r="AC20" s="3"/>
      <c r="AD20" s="3"/>
      <c r="AE20" s="3"/>
      <c r="AF20" s="3"/>
      <c r="AG20" s="3"/>
      <c r="AH20" s="3"/>
      <c r="AI20" s="3"/>
      <c r="AJ20" s="3"/>
      <c r="AK20" s="3"/>
      <c r="AL20" s="3"/>
      <c r="AM20" s="3"/>
    </row>
    <row r="21" spans="1:39" ht="19.5" customHeight="1" outlineLevel="1">
      <c r="A21" s="1"/>
      <c r="B21" s="25" t="s">
        <v>24</v>
      </c>
      <c r="C21" s="24" t="s">
        <v>23</v>
      </c>
      <c r="D21" s="3"/>
      <c r="E21" s="3"/>
      <c r="F21" s="3"/>
      <c r="G21" s="4"/>
      <c r="H21" s="4"/>
      <c r="I21" s="4"/>
      <c r="J21" s="3"/>
      <c r="K21" s="4"/>
      <c r="L21" s="4"/>
      <c r="M21" s="4"/>
      <c r="N21" s="3"/>
      <c r="O21" s="3"/>
      <c r="P21" s="4"/>
      <c r="Q21" s="4"/>
      <c r="R21" s="4"/>
      <c r="S21" s="4"/>
      <c r="T21" s="4"/>
      <c r="U21" s="4"/>
      <c r="V21" s="3"/>
      <c r="W21" s="3"/>
      <c r="X21" s="3"/>
      <c r="Y21" s="3"/>
      <c r="Z21" s="3"/>
      <c r="AA21" s="3"/>
      <c r="AB21" s="3"/>
      <c r="AC21" s="3"/>
      <c r="AD21" s="26" t="s">
        <v>25</v>
      </c>
      <c r="AE21" s="27"/>
      <c r="AF21" s="27"/>
      <c r="AG21" s="27"/>
      <c r="AH21" s="27"/>
      <c r="AI21" s="27"/>
      <c r="AJ21" s="27"/>
      <c r="AK21" s="27"/>
      <c r="AL21" s="28"/>
      <c r="AM21" s="3"/>
    </row>
    <row r="22" spans="1:39" ht="19.5" customHeight="1" outlineLevel="1">
      <c r="A22" s="1"/>
      <c r="B22" s="17" t="s">
        <v>0</v>
      </c>
      <c r="C22" s="3"/>
      <c r="D22" s="3"/>
      <c r="E22" s="3"/>
      <c r="F22" s="3"/>
      <c r="G22" s="4"/>
      <c r="H22" s="4"/>
      <c r="I22" s="4"/>
      <c r="J22" s="3"/>
      <c r="K22" s="4"/>
      <c r="L22" s="4"/>
      <c r="M22" s="4"/>
      <c r="N22" s="3"/>
      <c r="O22" s="3"/>
      <c r="P22" s="4"/>
      <c r="Q22" s="4"/>
      <c r="R22" s="29" t="s">
        <v>26</v>
      </c>
      <c r="S22" s="4"/>
      <c r="T22" s="4"/>
      <c r="U22" s="29" t="s">
        <v>27</v>
      </c>
      <c r="V22" s="3"/>
      <c r="W22" s="3"/>
      <c r="X22" s="3"/>
      <c r="Y22" s="3"/>
      <c r="Z22" s="3"/>
      <c r="AA22" s="3"/>
      <c r="AB22" s="3"/>
      <c r="AC22" s="3"/>
      <c r="AD22" s="3"/>
      <c r="AE22" s="3"/>
      <c r="AF22" s="3"/>
      <c r="AG22" s="3"/>
      <c r="AH22" s="3"/>
      <c r="AI22" s="3"/>
      <c r="AJ22" s="3"/>
      <c r="AK22" s="3"/>
      <c r="AL22" s="3"/>
      <c r="AM22" s="3"/>
    </row>
    <row r="23" spans="1:39" ht="71.25" customHeight="1" outlineLevel="1">
      <c r="A23" s="30"/>
      <c r="B23" s="31" t="s">
        <v>28</v>
      </c>
      <c r="C23" s="32" t="s">
        <v>10</v>
      </c>
      <c r="D23" s="32" t="s">
        <v>14</v>
      </c>
      <c r="E23" s="32" t="s">
        <v>29</v>
      </c>
      <c r="F23" s="32" t="s">
        <v>30</v>
      </c>
      <c r="G23" s="33" t="s">
        <v>31</v>
      </c>
      <c r="H23" s="34" t="s">
        <v>32</v>
      </c>
      <c r="I23" s="34" t="s">
        <v>33</v>
      </c>
      <c r="J23" s="35" t="s">
        <v>34</v>
      </c>
      <c r="K23" s="34" t="s">
        <v>35</v>
      </c>
      <c r="L23" s="34" t="s">
        <v>36</v>
      </c>
      <c r="M23" s="34" t="s">
        <v>37</v>
      </c>
      <c r="N23" s="35" t="s">
        <v>38</v>
      </c>
      <c r="O23" s="35" t="s">
        <v>39</v>
      </c>
      <c r="P23" s="36"/>
      <c r="Q23" s="37" t="s">
        <v>40</v>
      </c>
      <c r="R23" s="38" t="s">
        <v>41</v>
      </c>
      <c r="S23" s="39" t="s">
        <v>42</v>
      </c>
      <c r="T23" s="40" t="s">
        <v>43</v>
      </c>
      <c r="U23" s="40" t="s">
        <v>44</v>
      </c>
      <c r="V23" s="39" t="s">
        <v>45</v>
      </c>
      <c r="W23" s="40" t="s">
        <v>46</v>
      </c>
      <c r="X23" s="41" t="s">
        <v>47</v>
      </c>
      <c r="Y23" s="39" t="s">
        <v>48</v>
      </c>
      <c r="Z23" s="40" t="s">
        <v>49</v>
      </c>
      <c r="AA23" s="40" t="s">
        <v>50</v>
      </c>
      <c r="AB23" s="39" t="s">
        <v>51</v>
      </c>
      <c r="AC23" s="42"/>
      <c r="AD23" s="35" t="s">
        <v>52</v>
      </c>
      <c r="AE23" s="35" t="s">
        <v>53</v>
      </c>
      <c r="AF23" s="35" t="s">
        <v>54</v>
      </c>
      <c r="AG23" s="35" t="s">
        <v>55</v>
      </c>
      <c r="AH23" s="34" t="s">
        <v>56</v>
      </c>
      <c r="AI23" s="35" t="s">
        <v>57</v>
      </c>
      <c r="AJ23" s="35" t="s">
        <v>58</v>
      </c>
      <c r="AK23" s="34" t="s">
        <v>59</v>
      </c>
      <c r="AL23" s="35" t="s">
        <v>60</v>
      </c>
      <c r="AM23" s="42" t="s">
        <v>61</v>
      </c>
    </row>
    <row r="24" spans="1:39" ht="24.75" customHeight="1" outlineLevel="1">
      <c r="A24" s="54"/>
      <c r="B24" s="54"/>
      <c r="C24" s="55"/>
      <c r="D24" s="55"/>
      <c r="E24" s="55"/>
      <c r="F24" s="55"/>
      <c r="G24" s="55"/>
      <c r="H24" s="56"/>
      <c r="I24" s="43" t="s">
        <v>62</v>
      </c>
      <c r="J24" s="44" t="s">
        <v>0</v>
      </c>
      <c r="K24" s="43" t="s">
        <v>0</v>
      </c>
      <c r="L24" s="43" t="s">
        <v>0</v>
      </c>
      <c r="M24" s="43" t="s">
        <v>63</v>
      </c>
      <c r="N24" s="44" t="s">
        <v>63</v>
      </c>
      <c r="O24" s="44" t="s">
        <v>64</v>
      </c>
      <c r="P24" s="43" t="s">
        <v>65</v>
      </c>
      <c r="Q24" s="45" t="s">
        <v>0</v>
      </c>
      <c r="R24" s="46" t="s">
        <v>63</v>
      </c>
      <c r="S24" s="47" t="s">
        <v>63</v>
      </c>
      <c r="T24" s="48" t="s">
        <v>0</v>
      </c>
      <c r="U24" s="48" t="s">
        <v>63</v>
      </c>
      <c r="V24" s="49" t="s">
        <v>63</v>
      </c>
      <c r="W24" s="50"/>
      <c r="X24" s="51" t="s">
        <v>63</v>
      </c>
      <c r="Y24" s="49" t="s">
        <v>63</v>
      </c>
      <c r="Z24" s="52"/>
      <c r="AA24" s="52" t="s">
        <v>63</v>
      </c>
      <c r="AB24" s="49" t="s">
        <v>63</v>
      </c>
      <c r="AC24" s="53"/>
      <c r="AD24" s="44" t="s">
        <v>66</v>
      </c>
      <c r="AE24" s="44" t="s">
        <v>66</v>
      </c>
      <c r="AF24" s="44" t="s">
        <v>67</v>
      </c>
      <c r="AG24" s="44" t="s">
        <v>68</v>
      </c>
      <c r="AH24" s="44" t="s">
        <v>69</v>
      </c>
      <c r="AI24" s="44" t="s">
        <v>68</v>
      </c>
      <c r="AJ24" s="44" t="s">
        <v>67</v>
      </c>
      <c r="AK24" s="44"/>
      <c r="AL24" s="44"/>
      <c r="AM24" s="53"/>
    </row>
    <row r="25" spans="1:39" ht="13.5" customHeight="1" outlineLevel="1">
      <c r="A25" s="57" t="s">
        <v>70</v>
      </c>
      <c r="B25" s="58" t="s">
        <v>71</v>
      </c>
      <c r="C25" s="59" t="s">
        <v>72</v>
      </c>
      <c r="D25" s="60" t="s">
        <v>73</v>
      </c>
      <c r="E25" s="60">
        <v>462186</v>
      </c>
      <c r="F25" s="58" t="s">
        <v>74</v>
      </c>
      <c r="G25" s="61" t="s">
        <v>75</v>
      </c>
      <c r="H25" s="62">
        <v>151</v>
      </c>
      <c r="I25" s="63">
        <v>110.1205</v>
      </c>
      <c r="J25" s="60" t="s">
        <v>17</v>
      </c>
      <c r="K25" s="61" t="s">
        <v>76</v>
      </c>
      <c r="L25" s="64">
        <v>388000</v>
      </c>
      <c r="M25" s="62">
        <v>2648.5</v>
      </c>
      <c r="N25" s="65">
        <v>429916.04</v>
      </c>
      <c r="O25" s="65">
        <v>2.5</v>
      </c>
      <c r="P25" s="64">
        <v>2.4877217746243416</v>
      </c>
      <c r="Q25" s="66">
        <f>IF(OR(ISERROR(L25*$C$20/$C$16),EXACT(MID(B25,1,4),"WPL:")),0,L25*$C$20/$C$16)</f>
        <v>4</v>
      </c>
      <c r="R25" s="67">
        <f>IF(OR(ISERROR(M25*$C$20/$C$16),EXACT(MID(B25,1,4),"WPL:")),0,M25*$C$20/$C$16)</f>
        <v>4</v>
      </c>
      <c r="S25" s="68">
        <f>IF(OR(ISERROR(N25*$C$20/$C$16),EXACT(MID(B25,1,4),"WPL:")),0,N25*$C$20/$C$16)</f>
        <v>4</v>
      </c>
      <c r="T25" s="62">
        <f>IF(OR(ISERROR(L25*$C$21/N56),EXACT(MID(B25,1,4),"WPL:")),0,L25*$C$21/N56)</f>
        <v>4</v>
      </c>
      <c r="U25" s="62">
        <f>IF(OR(ISERROR(M25*$C$21/N56),EXACT(MID(B25,1,4),"WPL:")),0,M25*$C$21/N56)</f>
        <v>4</v>
      </c>
      <c r="V25" s="69">
        <f>IF(OR(ISERROR(M25*$C$20),EXACT(MID(B25,1,4),"WPL:")),0,N25*$C$21/N56)</f>
        <v>4</v>
      </c>
      <c r="W25" s="70">
        <f>IF(OR(ISERROR(L25*$C$20/$C$16),MID(B25,1,4)&lt;&gt;"WPL:"),0,L25*$C$20/$C$16)</f>
        <v>4</v>
      </c>
      <c r="X25" s="65">
        <f>IF(OR(ISERROR(2648.5*$C$21/N56),MID(B25,1,4)&lt;&gt;"WPL:"),0,2648.5*$C$21/N56)</f>
        <v>4</v>
      </c>
      <c r="Y25" s="71">
        <f>IF(OR(ISERROR(429916.04*$C$20/$C$16),MID(B25,1,4)&lt;&gt;"WPL:"),0,429916.04*$C$20/$C$16)</f>
        <v>4</v>
      </c>
      <c r="Z25" s="72">
        <f>IF(OR(ISERROR(L25*$C$21/N56),MID(B25,1,4)&lt;&gt;"WPL:"),0,L25*$C$21/N56)</f>
        <v>4</v>
      </c>
      <c r="AA25" s="73">
        <f>IF(OR(ISERROR(2648.5*$C$21/N56),MID(B25,1,4)&lt;&gt;"WPL:"),0,2648.5*$C$21/N56)</f>
        <v>4</v>
      </c>
      <c r="AB25" s="71">
        <f>IF(OR(ISERROR(429916.04*$C$20),MID(B25,1,4)&lt;&gt;"WPL:"),0,429916.04*$C$21/N56)</f>
        <v>4</v>
      </c>
      <c r="AC25" s="69"/>
      <c r="AD25" s="74" t="s">
        <v>88</v>
      </c>
      <c r="AE25" s="74" t="s">
        <v>89</v>
      </c>
      <c r="AF25" s="74">
        <v>7.597260274</v>
      </c>
      <c r="AG25" s="74">
        <v>1.65</v>
      </c>
      <c r="AH25" s="74">
        <v>1</v>
      </c>
      <c r="AI25" s="74">
        <v>0.300529608</v>
      </c>
      <c r="AJ25" s="74">
        <v>7.183468383</v>
      </c>
      <c r="AK25" s="74">
        <v>7.161944619</v>
      </c>
      <c r="AL25" s="74">
        <v>60.324013746</v>
      </c>
      <c r="AM25" s="75" t="s">
        <v>90</v>
      </c>
    </row>
    <row r="26" spans="1:39" ht="13.5" customHeight="1" outlineLevel="1">
      <c r="A26" s="57" t="s">
        <v>91</v>
      </c>
      <c r="B26" s="58" t="s">
        <v>92</v>
      </c>
      <c r="C26" s="59" t="s">
        <v>93</v>
      </c>
      <c r="D26" s="60" t="s">
        <v>94</v>
      </c>
      <c r="E26" s="60">
        <v>462186</v>
      </c>
      <c r="F26" s="58" t="s">
        <v>74</v>
      </c>
      <c r="G26" s="61" t="s">
        <v>75</v>
      </c>
      <c r="H26" s="62">
        <v>152</v>
      </c>
      <c r="I26" s="63">
        <v>106.2305</v>
      </c>
      <c r="J26" s="60" t="s">
        <v>17</v>
      </c>
      <c r="K26" s="61" t="s">
        <v>76</v>
      </c>
      <c r="L26" s="64">
        <v>393000</v>
      </c>
      <c r="M26" s="62">
        <v>1963.92</v>
      </c>
      <c r="N26" s="65">
        <v>419449.79</v>
      </c>
      <c r="O26" s="65">
        <v>2.4</v>
      </c>
      <c r="P26" s="64">
        <v>2.427158512030878</v>
      </c>
      <c r="Q26" s="66">
        <f>IF(OR(ISERROR(L26*$C$20/$C$16),EXACT(MID(B26,1,4),"WPL:")),0,L26*$C$20/$C$16)</f>
        <v>4</v>
      </c>
      <c r="R26" s="67">
        <f>IF(OR(ISERROR(M26*$C$20/$C$16),EXACT(MID(B26,1,4),"WPL:")),0,M26*$C$20/$C$16)</f>
        <v>4</v>
      </c>
      <c r="S26" s="68">
        <f>IF(OR(ISERROR(N26*$C$20/$C$16),EXACT(MID(B26,1,4),"WPL:")),0,N26*$C$20/$C$16)</f>
        <v>4</v>
      </c>
      <c r="T26" s="62">
        <f>IF(OR(ISERROR(L26*$C$21/N56),EXACT(MID(B26,1,4),"WPL:")),0,L26*$C$21/N56)</f>
        <v>4</v>
      </c>
      <c r="U26" s="62">
        <f>IF(OR(ISERROR(M26*$C$21/N56),EXACT(MID(B26,1,4),"WPL:")),0,M26*$C$21/N56)</f>
        <v>4</v>
      </c>
      <c r="V26" s="69">
        <f>IF(OR(ISERROR(M26*$C$20),EXACT(MID(B26,1,4),"WPL:")),0,N26*$C$21/N56)</f>
        <v>4</v>
      </c>
      <c r="W26" s="70">
        <f>IF(OR(ISERROR(L26*$C$20/$C$16),MID(B26,1,4)&lt;&gt;"WPL:"),0,L26*$C$20/$C$16)</f>
        <v>4</v>
      </c>
      <c r="X26" s="65">
        <f>IF(OR(ISERROR(1963.92*$C$21/N56),MID(B26,1,4)&lt;&gt;"WPL:"),0,1963.92*$C$21/N56)</f>
        <v>4</v>
      </c>
      <c r="Y26" s="71">
        <f>IF(OR(ISERROR(419449.79*$C$20/$C$16),MID(B26,1,4)&lt;&gt;"WPL:"),0,419449.79*$C$20/$C$16)</f>
        <v>4</v>
      </c>
      <c r="Z26" s="72">
        <f>IF(OR(ISERROR(L26*$C$21/N56),MID(B26,1,4)&lt;&gt;"WPL:"),0,L26*$C$21/N56)</f>
        <v>4</v>
      </c>
      <c r="AA26" s="73">
        <f>IF(OR(ISERROR(1963.92*$C$21/N56),MID(B26,1,4)&lt;&gt;"WPL:"),0,1963.92*$C$21/N56)</f>
        <v>4</v>
      </c>
      <c r="AB26" s="71">
        <f>IF(OR(ISERROR(419449.79*$C$20),MID(B26,1,4)&lt;&gt;"WPL:"),0,419449.79*$C$21/N56)</f>
        <v>4</v>
      </c>
      <c r="AC26" s="69"/>
      <c r="AD26" s="74" t="s">
        <v>106</v>
      </c>
      <c r="AE26" s="74" t="s">
        <v>107</v>
      </c>
      <c r="AF26" s="74">
        <v>8.594520548</v>
      </c>
      <c r="AG26" s="74">
        <v>1.2</v>
      </c>
      <c r="AH26" s="74">
        <v>1</v>
      </c>
      <c r="AI26" s="74">
        <v>0.458929823</v>
      </c>
      <c r="AJ26" s="74">
        <v>8.195086272</v>
      </c>
      <c r="AK26" s="74">
        <v>8.15764839</v>
      </c>
      <c r="AL26" s="74">
        <v>76.759372432</v>
      </c>
      <c r="AM26" s="75" t="s">
        <v>90</v>
      </c>
    </row>
    <row r="27" spans="1:39" ht="13.5" customHeight="1" outlineLevel="1">
      <c r="A27" s="57" t="s">
        <v>108</v>
      </c>
      <c r="B27" s="58" t="s">
        <v>109</v>
      </c>
      <c r="C27" s="59" t="s">
        <v>110</v>
      </c>
      <c r="D27" s="60" t="s">
        <v>111</v>
      </c>
      <c r="E27" s="60">
        <v>462186</v>
      </c>
      <c r="F27" s="58" t="s">
        <v>74</v>
      </c>
      <c r="G27" s="61" t="s">
        <v>75</v>
      </c>
      <c r="H27" s="62">
        <v>152</v>
      </c>
      <c r="I27" s="63">
        <v>100.978</v>
      </c>
      <c r="J27" s="60" t="s">
        <v>17</v>
      </c>
      <c r="K27" s="61" t="s">
        <v>76</v>
      </c>
      <c r="L27" s="64">
        <v>383000</v>
      </c>
      <c r="M27" s="62">
        <v>1196.22</v>
      </c>
      <c r="N27" s="65">
        <v>387941.96</v>
      </c>
      <c r="O27" s="65">
        <v>2.2</v>
      </c>
      <c r="P27" s="64">
        <v>2.2448375296312397</v>
      </c>
      <c r="Q27" s="66">
        <f>IF(OR(ISERROR(L27*$C$20/$C$16),EXACT(MID(B27,1,4),"WPL:")),0,L27*$C$20/$C$16)</f>
        <v>4</v>
      </c>
      <c r="R27" s="67">
        <f>IF(OR(ISERROR(M27*$C$20/$C$16),EXACT(MID(B27,1,4),"WPL:")),0,M27*$C$20/$C$16)</f>
        <v>4</v>
      </c>
      <c r="S27" s="68">
        <f>IF(OR(ISERROR(N27*$C$20/$C$16),EXACT(MID(B27,1,4),"WPL:")),0,N27*$C$20/$C$16)</f>
        <v>4</v>
      </c>
      <c r="T27" s="62">
        <f>IF(OR(ISERROR(L27*$C$21/N56),EXACT(MID(B27,1,4),"WPL:")),0,L27*$C$21/N56)</f>
        <v>4</v>
      </c>
      <c r="U27" s="62">
        <f>IF(OR(ISERROR(M27*$C$21/N56),EXACT(MID(B27,1,4),"WPL:")),0,M27*$C$21/N56)</f>
        <v>4</v>
      </c>
      <c r="V27" s="69">
        <f>IF(OR(ISERROR(M27*$C$20),EXACT(MID(B27,1,4),"WPL:")),0,N27*$C$21/N56)</f>
        <v>4</v>
      </c>
      <c r="W27" s="70">
        <f>IF(OR(ISERROR(L27*$C$20/$C$16),MID(B27,1,4)&lt;&gt;"WPL:"),0,L27*$C$20/$C$16)</f>
        <v>4</v>
      </c>
      <c r="X27" s="65">
        <f>IF(OR(ISERROR(1196.22*$C$21/N56),MID(B27,1,4)&lt;&gt;"WPL:"),0,1196.22*$C$21/N56)</f>
        <v>4</v>
      </c>
      <c r="Y27" s="71">
        <f>IF(OR(ISERROR(387941.96*$C$20/$C$16),MID(B27,1,4)&lt;&gt;"WPL:"),0,387941.96*$C$20/$C$16)</f>
        <v>4</v>
      </c>
      <c r="Z27" s="72">
        <f>IF(OR(ISERROR(L27*$C$21/N56),MID(B27,1,4)&lt;&gt;"WPL:"),0,L27*$C$21/N56)</f>
        <v>4</v>
      </c>
      <c r="AA27" s="73">
        <f>IF(OR(ISERROR(1196.22*$C$21/N56),MID(B27,1,4)&lt;&gt;"WPL:"),0,1196.22*$C$21/N56)</f>
        <v>4</v>
      </c>
      <c r="AB27" s="71">
        <f>IF(OR(ISERROR(387941.96*$C$20),MID(B27,1,4)&lt;&gt;"WPL:"),0,387941.96*$C$21/N56)</f>
        <v>4</v>
      </c>
      <c r="AC27" s="69"/>
      <c r="AD27" s="74" t="s">
        <v>123</v>
      </c>
      <c r="AE27" s="74" t="s">
        <v>124</v>
      </c>
      <c r="AF27" s="74">
        <v>9.594520548</v>
      </c>
      <c r="AG27" s="74">
        <v>0.75</v>
      </c>
      <c r="AH27" s="74">
        <v>1</v>
      </c>
      <c r="AI27" s="74">
        <v>0.644492153</v>
      </c>
      <c r="AJ27" s="74">
        <v>9.268168773</v>
      </c>
      <c r="AK27" s="74">
        <v>9.20881866</v>
      </c>
      <c r="AL27" s="74">
        <v>95.897629521</v>
      </c>
      <c r="AM27" s="75" t="s">
        <v>90</v>
      </c>
    </row>
    <row r="28" spans="1:39" ht="13.5" customHeight="1" outlineLevel="1">
      <c r="A28" s="57" t="s">
        <v>125</v>
      </c>
      <c r="B28" s="58" t="s">
        <v>126</v>
      </c>
      <c r="C28" s="59" t="s">
        <v>127</v>
      </c>
      <c r="D28" s="60" t="s">
        <v>128</v>
      </c>
      <c r="E28" s="60">
        <v>450063</v>
      </c>
      <c r="F28" s="58" t="s">
        <v>129</v>
      </c>
      <c r="G28" s="61" t="s">
        <v>130</v>
      </c>
      <c r="H28" s="62">
        <v>272</v>
      </c>
      <c r="I28" s="63">
        <v>101.37767</v>
      </c>
      <c r="J28" s="60" t="s">
        <v>17</v>
      </c>
      <c r="K28" s="61" t="s">
        <v>76</v>
      </c>
      <c r="L28" s="64">
        <v>621000</v>
      </c>
      <c r="M28" s="62">
        <v>3702.18</v>
      </c>
      <c r="N28" s="65">
        <v>633257.51</v>
      </c>
      <c r="O28" s="65">
        <v>3.7</v>
      </c>
      <c r="P28" s="64">
        <v>3.6643631546554802</v>
      </c>
      <c r="Q28" s="66">
        <f>IF(OR(ISERROR(L28*$C$20/$C$16),EXACT(MID(B28,1,4),"WPL:")),0,L28*$C$20/$C$16)</f>
        <v>4</v>
      </c>
      <c r="R28" s="67">
        <f>IF(OR(ISERROR(M28*$C$20/$C$16),EXACT(MID(B28,1,4),"WPL:")),0,M28*$C$20/$C$16)</f>
        <v>4</v>
      </c>
      <c r="S28" s="68">
        <f>IF(OR(ISERROR(N28*$C$20/$C$16),EXACT(MID(B28,1,4),"WPL:")),0,N28*$C$20/$C$16)</f>
        <v>4</v>
      </c>
      <c r="T28" s="62">
        <f>IF(OR(ISERROR(L28*$C$21/N56),EXACT(MID(B28,1,4),"WPL:")),0,L28*$C$21/N56)</f>
        <v>4</v>
      </c>
      <c r="U28" s="62">
        <f>IF(OR(ISERROR(M28*$C$21/N56),EXACT(MID(B28,1,4),"WPL:")),0,M28*$C$21/N56)</f>
        <v>4</v>
      </c>
      <c r="V28" s="69">
        <f>IF(OR(ISERROR(M28*$C$20),EXACT(MID(B28,1,4),"WPL:")),0,N28*$C$21/N56)</f>
        <v>4</v>
      </c>
      <c r="W28" s="70">
        <f>IF(OR(ISERROR(L28*$C$20/$C$16),MID(B28,1,4)&lt;&gt;"WPL:"),0,L28*$C$20/$C$16)</f>
        <v>4</v>
      </c>
      <c r="X28" s="65">
        <f>IF(OR(ISERROR(3702.18*$C$21/N56),MID(B28,1,4)&lt;&gt;"WPL:"),0,3702.18*$C$21/N56)</f>
        <v>4</v>
      </c>
      <c r="Y28" s="71">
        <f>IF(OR(ISERROR(633257.51*$C$20/$C$16),MID(B28,1,4)&lt;&gt;"WPL:"),0,633257.51*$C$20/$C$16)</f>
        <v>4</v>
      </c>
      <c r="Z28" s="72">
        <f>IF(OR(ISERROR(L28*$C$21/N56),MID(B28,1,4)&lt;&gt;"WPL:"),0,L28*$C$21/N56)</f>
        <v>4</v>
      </c>
      <c r="AA28" s="73">
        <f>IF(OR(ISERROR(3702.18*$C$21/N56),MID(B28,1,4)&lt;&gt;"WPL:"),0,3702.18*$C$21/N56)</f>
        <v>4</v>
      </c>
      <c r="AB28" s="71">
        <f>IF(OR(ISERROR(633257.51*$C$20),MID(B28,1,4)&lt;&gt;"WPL:"),0,633257.51*$C$21/N56)</f>
        <v>4</v>
      </c>
      <c r="AC28" s="69"/>
      <c r="AD28" s="74" t="s">
        <v>142</v>
      </c>
      <c r="AE28" s="74" t="s">
        <v>143</v>
      </c>
      <c r="AF28" s="74">
        <v>8.265753425</v>
      </c>
      <c r="AG28" s="74">
        <v>0.8</v>
      </c>
      <c r="AH28" s="74">
        <v>1</v>
      </c>
      <c r="AI28" s="74">
        <v>0.628378085</v>
      </c>
      <c r="AJ28" s="74">
        <v>7.987843926</v>
      </c>
      <c r="AK28" s="74">
        <v>7.937963503</v>
      </c>
      <c r="AL28" s="74">
        <v>72.385262731</v>
      </c>
      <c r="AM28" s="75" t="s">
        <v>90</v>
      </c>
    </row>
    <row r="29" spans="1:39" ht="13.5" customHeight="1" outlineLevel="1">
      <c r="A29" s="57" t="s">
        <v>144</v>
      </c>
      <c r="B29" s="58" t="s">
        <v>145</v>
      </c>
      <c r="C29" s="59" t="s">
        <v>146</v>
      </c>
      <c r="D29" s="60" t="s">
        <v>147</v>
      </c>
      <c r="E29" s="60">
        <v>450063</v>
      </c>
      <c r="F29" s="58" t="s">
        <v>129</v>
      </c>
      <c r="G29" s="61" t="s">
        <v>130</v>
      </c>
      <c r="H29" s="62">
        <v>272</v>
      </c>
      <c r="I29" s="63">
        <v>102.0295</v>
      </c>
      <c r="J29" s="60" t="s">
        <v>17</v>
      </c>
      <c r="K29" s="61" t="s">
        <v>76</v>
      </c>
      <c r="L29" s="64">
        <v>543000</v>
      </c>
      <c r="M29" s="62">
        <v>4046.47</v>
      </c>
      <c r="N29" s="65">
        <v>558066.66</v>
      </c>
      <c r="O29" s="65">
        <v>3.2</v>
      </c>
      <c r="P29" s="64">
        <v>3.2292690958306163</v>
      </c>
      <c r="Q29" s="66">
        <f>IF(OR(ISERROR(L29*$C$20/$C$16),EXACT(MID(B29,1,4),"WPL:")),0,L29*$C$20/$C$16)</f>
        <v>4</v>
      </c>
      <c r="R29" s="67">
        <f>IF(OR(ISERROR(M29*$C$20/$C$16),EXACT(MID(B29,1,4),"WPL:")),0,M29*$C$20/$C$16)</f>
        <v>4</v>
      </c>
      <c r="S29" s="68">
        <f>IF(OR(ISERROR(N29*$C$20/$C$16),EXACT(MID(B29,1,4),"WPL:")),0,N29*$C$20/$C$16)</f>
        <v>4</v>
      </c>
      <c r="T29" s="62">
        <f>IF(OR(ISERROR(L29*$C$21/N56),EXACT(MID(B29,1,4),"WPL:")),0,L29*$C$21/N56)</f>
        <v>4</v>
      </c>
      <c r="U29" s="62">
        <f>IF(OR(ISERROR(M29*$C$21/N56),EXACT(MID(B29,1,4),"WPL:")),0,M29*$C$21/N56)</f>
        <v>4</v>
      </c>
      <c r="V29" s="69">
        <f>IF(OR(ISERROR(M29*$C$20),EXACT(MID(B29,1,4),"WPL:")),0,N29*$C$21/N56)</f>
        <v>4</v>
      </c>
      <c r="W29" s="70">
        <f>IF(OR(ISERROR(L29*$C$20/$C$16),MID(B29,1,4)&lt;&gt;"WPL:"),0,L29*$C$20/$C$16)</f>
        <v>4</v>
      </c>
      <c r="X29" s="65">
        <f>IF(OR(ISERROR(4046.47*$C$21/N56),MID(B29,1,4)&lt;&gt;"WPL:"),0,4046.47*$C$21/N56)</f>
        <v>4</v>
      </c>
      <c r="Y29" s="71">
        <f>IF(OR(ISERROR(558066.66*$C$20/$C$16),MID(B29,1,4)&lt;&gt;"WPL:"),0,558066.66*$C$20/$C$16)</f>
        <v>4</v>
      </c>
      <c r="Z29" s="72">
        <f>IF(OR(ISERROR(L29*$C$21/N56),MID(B29,1,4)&lt;&gt;"WPL:"),0,L29*$C$21/N56)</f>
        <v>4</v>
      </c>
      <c r="AA29" s="73">
        <f>IF(OR(ISERROR(4046.47*$C$21/N56),MID(B29,1,4)&lt;&gt;"WPL:"),0,4046.47*$C$21/N56)</f>
        <v>4</v>
      </c>
      <c r="AB29" s="71">
        <f>IF(OR(ISERROR(558066.66*$C$20),MID(B29,1,4)&lt;&gt;"WPL:"),0,558066.66*$C$21/N56)</f>
        <v>4</v>
      </c>
      <c r="AC29" s="69"/>
      <c r="AD29" s="74" t="s">
        <v>159</v>
      </c>
      <c r="AE29" s="74" t="s">
        <v>160</v>
      </c>
      <c r="AF29" s="74">
        <v>9.265753425</v>
      </c>
      <c r="AG29" s="74">
        <v>1</v>
      </c>
      <c r="AH29" s="74">
        <v>1</v>
      </c>
      <c r="AI29" s="74">
        <v>0.772110789</v>
      </c>
      <c r="AJ29" s="74">
        <v>8.837560135</v>
      </c>
      <c r="AK29" s="74">
        <v>8.769847199</v>
      </c>
      <c r="AL29" s="74">
        <v>88.118593332</v>
      </c>
      <c r="AM29" s="75" t="s">
        <v>90</v>
      </c>
    </row>
    <row r="30" spans="1:39" ht="13.5" customHeight="1" outlineLevel="1">
      <c r="A30" s="57" t="s">
        <v>161</v>
      </c>
      <c r="B30" s="58" t="s">
        <v>162</v>
      </c>
      <c r="C30" s="59" t="s">
        <v>163</v>
      </c>
      <c r="D30" s="60" t="s">
        <v>164</v>
      </c>
      <c r="E30" s="60">
        <v>450063</v>
      </c>
      <c r="F30" s="58" t="s">
        <v>129</v>
      </c>
      <c r="G30" s="61" t="s">
        <v>130</v>
      </c>
      <c r="H30" s="62">
        <v>56</v>
      </c>
      <c r="I30" s="63">
        <v>98.7165</v>
      </c>
      <c r="J30" s="60" t="s">
        <v>17</v>
      </c>
      <c r="K30" s="61" t="s">
        <v>76</v>
      </c>
      <c r="L30" s="64">
        <v>226000</v>
      </c>
      <c r="M30" s="62">
        <v>277.39</v>
      </c>
      <c r="N30" s="65">
        <v>223376.68</v>
      </c>
      <c r="O30" s="65">
        <v>1.3</v>
      </c>
      <c r="P30" s="64">
        <v>1.2925757103161204</v>
      </c>
      <c r="Q30" s="66">
        <f>IF(OR(ISERROR(L30*$C$20/$C$16),EXACT(MID(B30,1,4),"WPL:")),0,L30*$C$20/$C$16)</f>
        <v>4</v>
      </c>
      <c r="R30" s="67">
        <f>IF(OR(ISERROR(M30*$C$20/$C$16),EXACT(MID(B30,1,4),"WPL:")),0,M30*$C$20/$C$16)</f>
        <v>4</v>
      </c>
      <c r="S30" s="68">
        <f>IF(OR(ISERROR(N30*$C$20/$C$16),EXACT(MID(B30,1,4),"WPL:")),0,N30*$C$20/$C$16)</f>
        <v>4</v>
      </c>
      <c r="T30" s="62">
        <f>IF(OR(ISERROR(L30*$C$21/N56),EXACT(MID(B30,1,4),"WPL:")),0,L30*$C$21/N56)</f>
        <v>4</v>
      </c>
      <c r="U30" s="62">
        <f>IF(OR(ISERROR(M30*$C$21/N56),EXACT(MID(B30,1,4),"WPL:")),0,M30*$C$21/N56)</f>
        <v>4</v>
      </c>
      <c r="V30" s="69">
        <f>IF(OR(ISERROR(M30*$C$20),EXACT(MID(B30,1,4),"WPL:")),0,N30*$C$21/N56)</f>
        <v>4</v>
      </c>
      <c r="W30" s="70">
        <f>IF(OR(ISERROR(L30*$C$20/$C$16),MID(B30,1,4)&lt;&gt;"WPL:"),0,L30*$C$20/$C$16)</f>
        <v>4</v>
      </c>
      <c r="X30" s="65">
        <f>IF(OR(ISERROR(277.39*$C$21/N56),MID(B30,1,4)&lt;&gt;"WPL:"),0,277.39*$C$21/N56)</f>
        <v>4</v>
      </c>
      <c r="Y30" s="71">
        <f>IF(OR(ISERROR(223376.68*$C$20/$C$16),MID(B30,1,4)&lt;&gt;"WPL:"),0,223376.68*$C$20/$C$16)</f>
        <v>4</v>
      </c>
      <c r="Z30" s="72">
        <f>IF(OR(ISERROR(L30*$C$21/N56),MID(B30,1,4)&lt;&gt;"WPL:"),0,L30*$C$21/N56)</f>
        <v>4</v>
      </c>
      <c r="AA30" s="73">
        <f>IF(OR(ISERROR(277.39*$C$21/N56),MID(B30,1,4)&lt;&gt;"WPL:"),0,277.39*$C$21/N56)</f>
        <v>4</v>
      </c>
      <c r="AB30" s="71">
        <f>IF(OR(ISERROR(223376.68*$C$20),MID(B30,1,4)&lt;&gt;"WPL:"),0,223376.68*$C$21/N56)</f>
        <v>4</v>
      </c>
      <c r="AC30" s="69"/>
      <c r="AD30" s="74" t="s">
        <v>176</v>
      </c>
      <c r="AE30" s="74" t="s">
        <v>177</v>
      </c>
      <c r="AF30" s="74">
        <v>10.265753425</v>
      </c>
      <c r="AG30" s="74">
        <v>0.8</v>
      </c>
      <c r="AH30" s="74">
        <v>1</v>
      </c>
      <c r="AI30" s="74">
        <v>0.931728389</v>
      </c>
      <c r="AJ30" s="74">
        <v>9.881502276</v>
      </c>
      <c r="AK30" s="74">
        <v>9.790283426</v>
      </c>
      <c r="AL30" s="74">
        <v>107.927672566</v>
      </c>
      <c r="AM30" s="75" t="s">
        <v>90</v>
      </c>
    </row>
    <row r="31" spans="1:39" ht="13.5" customHeight="1" outlineLevel="1">
      <c r="A31" s="57" t="s">
        <v>178</v>
      </c>
      <c r="B31" s="58" t="s">
        <v>179</v>
      </c>
      <c r="C31" s="59" t="s">
        <v>180</v>
      </c>
      <c r="D31" s="60" t="s">
        <v>181</v>
      </c>
      <c r="E31" s="60">
        <v>110000</v>
      </c>
      <c r="F31" s="58" t="s">
        <v>182</v>
      </c>
      <c r="G31" s="61" t="s">
        <v>183</v>
      </c>
      <c r="H31" s="62">
        <v>34</v>
      </c>
      <c r="I31" s="63">
        <v>103.153</v>
      </c>
      <c r="J31" s="60" t="s">
        <v>17</v>
      </c>
      <c r="K31" s="61" t="s">
        <v>76</v>
      </c>
      <c r="L31" s="64">
        <v>797000</v>
      </c>
      <c r="M31" s="62">
        <v>371.21</v>
      </c>
      <c r="N31" s="65">
        <v>822500.62</v>
      </c>
      <c r="O31" s="65">
        <v>4.8</v>
      </c>
      <c r="P31" s="64">
        <v>4.759423961050676</v>
      </c>
      <c r="Q31" s="66">
        <f>IF(OR(ISERROR(L31*$C$20/$C$16),EXACT(MID(B31,1,4),"WPL:")),0,L31*$C$20/$C$16)</f>
        <v>4</v>
      </c>
      <c r="R31" s="67">
        <f>IF(OR(ISERROR(M31*$C$20/$C$16),EXACT(MID(B31,1,4),"WPL:")),0,M31*$C$20/$C$16)</f>
        <v>4</v>
      </c>
      <c r="S31" s="68">
        <f>IF(OR(ISERROR(N31*$C$20/$C$16),EXACT(MID(B31,1,4),"WPL:")),0,N31*$C$20/$C$16)</f>
        <v>4</v>
      </c>
      <c r="T31" s="62">
        <f>IF(OR(ISERROR(L31*$C$21/N56),EXACT(MID(B31,1,4),"WPL:")),0,L31*$C$21/N56)</f>
        <v>4</v>
      </c>
      <c r="U31" s="62">
        <f>IF(OR(ISERROR(M31*$C$21/N56),EXACT(MID(B31,1,4),"WPL:")),0,M31*$C$21/N56)</f>
        <v>4</v>
      </c>
      <c r="V31" s="69">
        <f>IF(OR(ISERROR(M31*$C$20),EXACT(MID(B31,1,4),"WPL:")),0,N31*$C$21/N56)</f>
        <v>4</v>
      </c>
      <c r="W31" s="70">
        <f>IF(OR(ISERROR(L31*$C$20/$C$16),MID(B31,1,4)&lt;&gt;"WPL:"),0,L31*$C$20/$C$16)</f>
        <v>4</v>
      </c>
      <c r="X31" s="65">
        <f>IF(OR(ISERROR(371.21*$C$21/N56),MID(B31,1,4)&lt;&gt;"WPL:"),0,371.21*$C$21/N56)</f>
        <v>4</v>
      </c>
      <c r="Y31" s="71">
        <f>IF(OR(ISERROR(822500.62*$C$20/$C$16),MID(B31,1,4)&lt;&gt;"WPL:"),0,822500.62*$C$20/$C$16)</f>
        <v>4</v>
      </c>
      <c r="Z31" s="72">
        <f>IF(OR(ISERROR(L31*$C$21/N56),MID(B31,1,4)&lt;&gt;"WPL:"),0,L31*$C$21/N56)</f>
        <v>4</v>
      </c>
      <c r="AA31" s="73">
        <f>IF(OR(ISERROR(371.21*$C$21/N56),MID(B31,1,4)&lt;&gt;"WPL:"),0,371.21*$C$21/N56)</f>
        <v>4</v>
      </c>
      <c r="AB31" s="71">
        <f>IF(OR(ISERROR(822500.62*$C$20),MID(B31,1,4)&lt;&gt;"WPL:"),0,822500.62*$C$21/N56)</f>
        <v>4</v>
      </c>
      <c r="AC31" s="69"/>
      <c r="AD31" s="74" t="s">
        <v>195</v>
      </c>
      <c r="AE31" s="74" t="s">
        <v>196</v>
      </c>
      <c r="AF31" s="74">
        <v>7.917808219</v>
      </c>
      <c r="AG31" s="74">
        <v>0.5</v>
      </c>
      <c r="AH31" s="74">
        <v>1</v>
      </c>
      <c r="AI31" s="74">
        <v>0.100003627</v>
      </c>
      <c r="AJ31" s="74">
        <v>7.78253643</v>
      </c>
      <c r="AK31" s="74">
        <v>7.774761386</v>
      </c>
      <c r="AL31" s="74">
        <v>68.871059633</v>
      </c>
      <c r="AM31" s="75" t="s">
        <v>90</v>
      </c>
    </row>
    <row r="32" spans="1:39" ht="13.5" customHeight="1" outlineLevel="1">
      <c r="A32" s="57" t="s">
        <v>197</v>
      </c>
      <c r="B32" s="58" t="s">
        <v>198</v>
      </c>
      <c r="C32" s="59" t="s">
        <v>180</v>
      </c>
      <c r="D32" s="60" t="s">
        <v>181</v>
      </c>
      <c r="E32" s="60">
        <v>110000</v>
      </c>
      <c r="F32" s="58" t="s">
        <v>182</v>
      </c>
      <c r="G32" s="61" t="s">
        <v>183</v>
      </c>
      <c r="H32" s="62">
        <v>34</v>
      </c>
      <c r="I32" s="63">
        <v>103.153</v>
      </c>
      <c r="J32" s="60" t="s">
        <v>17</v>
      </c>
      <c r="K32" s="61" t="s">
        <v>76</v>
      </c>
      <c r="L32" s="64">
        <v>793109</v>
      </c>
      <c r="M32" s="62"/>
      <c r="N32" s="76"/>
      <c r="O32" s="65">
        <v>0</v>
      </c>
      <c r="P32" s="64">
        <v>0</v>
      </c>
      <c r="Q32" s="66">
        <f>IF(OR(ISERROR(L32*$C$20/$C$16),EXACT(MID(B32,1,4),"WPL:")),0,L32*$C$20/$C$16)</f>
        <v>4</v>
      </c>
      <c r="R32" s="67">
        <f>IF(OR(ISERROR(M32*$C$20/$C$16),EXACT(MID(B32,1,4),"WPL:")),0,M32*$C$20/$C$16)</f>
        <v>4</v>
      </c>
      <c r="S32" s="68">
        <f>IF(OR(ISERROR(N32*$C$20/$C$16),EXACT(MID(B32,1,4),"WPL:")),0,N32*$C$20/$C$16)</f>
        <v>4</v>
      </c>
      <c r="T32" s="62">
        <f>IF(OR(ISERROR(L32*$C$21/N56),EXACT(MID(B32,1,4),"WPL:")),0,L32*$C$21/N56)</f>
        <v>4</v>
      </c>
      <c r="U32" s="62">
        <f>IF(OR(ISERROR(M32*$C$21/N56),EXACT(MID(B32,1,4),"WPL:")),0,M32*$C$21/N56)</f>
        <v>4</v>
      </c>
      <c r="V32" s="69">
        <f>IF(OR(ISERROR(M32*$C$20),EXACT(MID(B32,1,4),"WPL:")),0,N32*$C$21/N56)</f>
        <v>4</v>
      </c>
      <c r="W32" s="70">
        <f>IF(OR(ISERROR(L32*$C$20/$C$16),MID(B32,1,4)&lt;&gt;"WPL:"),0,L32*$C$20/$C$16)</f>
        <v>4</v>
      </c>
      <c r="X32" s="65">
        <f>IF(OR(ISERROR(369.3932133206*$C$21/N56),MID(B32,1,4)&lt;&gt;"WPL:"),0,369.3932133206*$C$21/N56)</f>
        <v>4</v>
      </c>
      <c r="Y32" s="71">
        <f>IF(OR(ISERROR(818115.72677*$C$20/$C$16),MID(B32,1,4)&lt;&gt;"WPL:"),0,818115.72677*$C$20/$C$16)</f>
        <v>4</v>
      </c>
      <c r="Z32" s="72">
        <f>IF(OR(ISERROR(L32*$C$21/N56),MID(B32,1,4)&lt;&gt;"WPL:"),0,L32*$C$21/N56)</f>
        <v>4</v>
      </c>
      <c r="AA32" s="73">
        <f>IF(OR(ISERROR(369.3932133206*$C$21/N56),MID(B32,1,4)&lt;&gt;"WPL:"),0,369.3932133206*$C$21/N56)</f>
        <v>4</v>
      </c>
      <c r="AB32" s="71">
        <f>IF(OR(ISERROR(818115.72677*$C$20),MID(B32,1,4)&lt;&gt;"WPL:"),0,818115.72677*$C$21/N56)</f>
        <v>4</v>
      </c>
      <c r="AC32" s="69"/>
      <c r="AD32" s="74" t="s">
        <v>195</v>
      </c>
      <c r="AE32" s="74" t="s">
        <v>196</v>
      </c>
      <c r="AF32" s="74">
        <v>7.917808219</v>
      </c>
      <c r="AG32" s="74">
        <v>0.5</v>
      </c>
      <c r="AH32" s="74">
        <v>1</v>
      </c>
      <c r="AI32" s="74">
        <v>0.100003627</v>
      </c>
      <c r="AJ32" s="74">
        <v>7.78253643</v>
      </c>
      <c r="AK32" s="74">
        <v>7.774761386</v>
      </c>
      <c r="AL32" s="74">
        <v>68.871059633</v>
      </c>
      <c r="AM32" s="75" t="s">
        <v>90</v>
      </c>
    </row>
    <row r="33" spans="1:39" ht="13.5" customHeight="1" outlineLevel="1">
      <c r="A33" s="57" t="s">
        <v>210</v>
      </c>
      <c r="B33" s="58" t="s">
        <v>211</v>
      </c>
      <c r="C33" s="59" t="s">
        <v>212</v>
      </c>
      <c r="D33" s="60" t="s">
        <v>213</v>
      </c>
      <c r="E33" s="60">
        <v>110000</v>
      </c>
      <c r="F33" s="58" t="s">
        <v>182</v>
      </c>
      <c r="G33" s="61" t="s">
        <v>183</v>
      </c>
      <c r="H33" s="62">
        <v>218</v>
      </c>
      <c r="I33" s="63">
        <v>106.9015</v>
      </c>
      <c r="J33" s="60" t="s">
        <v>17</v>
      </c>
      <c r="K33" s="61" t="s">
        <v>76</v>
      </c>
      <c r="L33" s="64">
        <v>797000</v>
      </c>
      <c r="M33" s="62">
        <v>4760.16</v>
      </c>
      <c r="N33" s="65">
        <v>856765.12</v>
      </c>
      <c r="O33" s="65">
        <v>5</v>
      </c>
      <c r="P33" s="64">
        <v>4.957696495256695</v>
      </c>
      <c r="Q33" s="66">
        <f>IF(OR(ISERROR(L33*$C$20/$C$16),EXACT(MID(B33,1,4),"WPL:")),0,L33*$C$20/$C$16)</f>
        <v>4</v>
      </c>
      <c r="R33" s="67">
        <f>IF(OR(ISERROR(M33*$C$20/$C$16),EXACT(MID(B33,1,4),"WPL:")),0,M33*$C$20/$C$16)</f>
        <v>4</v>
      </c>
      <c r="S33" s="68">
        <f>IF(OR(ISERROR(N33*$C$20/$C$16),EXACT(MID(B33,1,4),"WPL:")),0,N33*$C$20/$C$16)</f>
        <v>4</v>
      </c>
      <c r="T33" s="62">
        <f>IF(OR(ISERROR(L33*$C$21/N56),EXACT(MID(B33,1,4),"WPL:")),0,L33*$C$21/N56)</f>
        <v>4</v>
      </c>
      <c r="U33" s="62">
        <f>IF(OR(ISERROR(M33*$C$21/N56),EXACT(MID(B33,1,4),"WPL:")),0,M33*$C$21/N56)</f>
        <v>4</v>
      </c>
      <c r="V33" s="69">
        <f>IF(OR(ISERROR(M33*$C$20),EXACT(MID(B33,1,4),"WPL:")),0,N33*$C$21/N56)</f>
        <v>4</v>
      </c>
      <c r="W33" s="70">
        <f>IF(OR(ISERROR(L33*$C$20/$C$16),MID(B33,1,4)&lt;&gt;"WPL:"),0,L33*$C$20/$C$16)</f>
        <v>4</v>
      </c>
      <c r="X33" s="65">
        <f>IF(OR(ISERROR(4760.16*$C$21/N56),MID(B33,1,4)&lt;&gt;"WPL:"),0,4760.16*$C$21/N56)</f>
        <v>4</v>
      </c>
      <c r="Y33" s="71">
        <f>IF(OR(ISERROR(856765.12*$C$20/$C$16),MID(B33,1,4)&lt;&gt;"WPL:"),0,856765.12*$C$20/$C$16)</f>
        <v>4</v>
      </c>
      <c r="Z33" s="72">
        <f>IF(OR(ISERROR(L33*$C$21/N56),MID(B33,1,4)&lt;&gt;"WPL:"),0,L33*$C$21/N56)</f>
        <v>4</v>
      </c>
      <c r="AA33" s="73">
        <f>IF(OR(ISERROR(4760.16*$C$21/N56),MID(B33,1,4)&lt;&gt;"WPL:"),0,4760.16*$C$21/N56)</f>
        <v>4</v>
      </c>
      <c r="AB33" s="71">
        <f>IF(OR(ISERROR(856765.12*$C$20),MID(B33,1,4)&lt;&gt;"WPL:"),0,856765.12*$C$21/N56)</f>
        <v>4</v>
      </c>
      <c r="AC33" s="69"/>
      <c r="AD33" s="74" t="s">
        <v>225</v>
      </c>
      <c r="AE33" s="74" t="s">
        <v>226</v>
      </c>
      <c r="AF33" s="74">
        <v>8.41369863</v>
      </c>
      <c r="AG33" s="74">
        <v>1</v>
      </c>
      <c r="AH33" s="74">
        <v>1</v>
      </c>
      <c r="AI33" s="74">
        <v>0.173011385</v>
      </c>
      <c r="AJ33" s="74">
        <v>8.080361598</v>
      </c>
      <c r="AK33" s="74">
        <v>8.066405798</v>
      </c>
      <c r="AL33" s="74">
        <v>74.893268114</v>
      </c>
      <c r="AM33" s="75" t="s">
        <v>90</v>
      </c>
    </row>
    <row r="34" spans="1:39" ht="13.5" customHeight="1" outlineLevel="1">
      <c r="A34" s="57" t="s">
        <v>227</v>
      </c>
      <c r="B34" s="58" t="s">
        <v>228</v>
      </c>
      <c r="C34" s="59" t="s">
        <v>212</v>
      </c>
      <c r="D34" s="60" t="s">
        <v>213</v>
      </c>
      <c r="E34" s="60">
        <v>110000</v>
      </c>
      <c r="F34" s="58" t="s">
        <v>182</v>
      </c>
      <c r="G34" s="61" t="s">
        <v>183</v>
      </c>
      <c r="H34" s="62">
        <v>218</v>
      </c>
      <c r="I34" s="63">
        <v>106.9015</v>
      </c>
      <c r="J34" s="60" t="s">
        <v>17</v>
      </c>
      <c r="K34" s="61" t="s">
        <v>76</v>
      </c>
      <c r="L34" s="64">
        <v>30000</v>
      </c>
      <c r="M34" s="62"/>
      <c r="N34" s="76"/>
      <c r="O34" s="65">
        <v>0</v>
      </c>
      <c r="P34" s="64">
        <v>0</v>
      </c>
      <c r="Q34" s="66">
        <f>IF(OR(ISERROR(L34*$C$20/$C$16),EXACT(MID(B34,1,4),"WPL:")),0,L34*$C$20/$C$16)</f>
        <v>4</v>
      </c>
      <c r="R34" s="67">
        <f>IF(OR(ISERROR(M34*$C$20/$C$16),EXACT(MID(B34,1,4),"WPL:")),0,M34*$C$20/$C$16)</f>
        <v>4</v>
      </c>
      <c r="S34" s="68">
        <f>IF(OR(ISERROR(N34*$C$20/$C$16),EXACT(MID(B34,1,4),"WPL:")),0,N34*$C$20/$C$16)</f>
        <v>4</v>
      </c>
      <c r="T34" s="62">
        <f>IF(OR(ISERROR(L34*$C$21/N56),EXACT(MID(B34,1,4),"WPL:")),0,L34*$C$21/N56)</f>
        <v>4</v>
      </c>
      <c r="U34" s="62">
        <f>IF(OR(ISERROR(M34*$C$21/N56),EXACT(MID(B34,1,4),"WPL:")),0,M34*$C$21/N56)</f>
        <v>4</v>
      </c>
      <c r="V34" s="69">
        <f>IF(OR(ISERROR(M34*$C$20),EXACT(MID(B34,1,4),"WPL:")),0,N34*$C$21/N56)</f>
        <v>4</v>
      </c>
      <c r="W34" s="70">
        <f>IF(OR(ISERROR(L34*$C$20/$C$16),MID(B34,1,4)&lt;&gt;"WPL:"),0,L34*$C$20/$C$16)</f>
        <v>4</v>
      </c>
      <c r="X34" s="65">
        <f>IF(OR(ISERROR(179.178081*$C$21/N56),MID(B34,1,4)&lt;&gt;"WPL:"),0,179.178081*$C$21/N56)</f>
        <v>4</v>
      </c>
      <c r="Y34" s="71">
        <f>IF(OR(ISERROR(32070.45*$C$20/$C$16),MID(B34,1,4)&lt;&gt;"WPL:"),0,32070.45*$C$20/$C$16)</f>
        <v>4</v>
      </c>
      <c r="Z34" s="72">
        <f>IF(OR(ISERROR(L34*$C$21/N56),MID(B34,1,4)&lt;&gt;"WPL:"),0,L34*$C$21/N56)</f>
        <v>4</v>
      </c>
      <c r="AA34" s="73">
        <f>IF(OR(ISERROR(179.178081*$C$21/N56),MID(B34,1,4)&lt;&gt;"WPL:"),0,179.178081*$C$21/N56)</f>
        <v>4</v>
      </c>
      <c r="AB34" s="71">
        <f>IF(OR(ISERROR(32070.45*$C$20),MID(B34,1,4)&lt;&gt;"WPL:"),0,32070.45*$C$21/N56)</f>
        <v>4</v>
      </c>
      <c r="AC34" s="69"/>
      <c r="AD34" s="74" t="s">
        <v>225</v>
      </c>
      <c r="AE34" s="74" t="s">
        <v>226</v>
      </c>
      <c r="AF34" s="74">
        <v>8.41369863</v>
      </c>
      <c r="AG34" s="74">
        <v>1</v>
      </c>
      <c r="AH34" s="74">
        <v>1</v>
      </c>
      <c r="AI34" s="74">
        <v>0.173011385</v>
      </c>
      <c r="AJ34" s="74">
        <v>8.080361598</v>
      </c>
      <c r="AK34" s="74">
        <v>8.066405798</v>
      </c>
      <c r="AL34" s="74">
        <v>74.893268114</v>
      </c>
      <c r="AM34" s="75" t="s">
        <v>90</v>
      </c>
    </row>
    <row r="35" spans="1:39" ht="13.5" customHeight="1" outlineLevel="1">
      <c r="A35" s="57" t="s">
        <v>240</v>
      </c>
      <c r="B35" s="58" t="s">
        <v>241</v>
      </c>
      <c r="C35" s="59" t="s">
        <v>242</v>
      </c>
      <c r="D35" s="60" t="s">
        <v>243</v>
      </c>
      <c r="E35" s="60">
        <v>110000</v>
      </c>
      <c r="F35" s="58" t="s">
        <v>182</v>
      </c>
      <c r="G35" s="61" t="s">
        <v>183</v>
      </c>
      <c r="H35" s="62">
        <v>34</v>
      </c>
      <c r="I35" s="63">
        <v>102.12604</v>
      </c>
      <c r="J35" s="60" t="s">
        <v>17</v>
      </c>
      <c r="K35" s="61" t="s">
        <v>76</v>
      </c>
      <c r="L35" s="64">
        <v>901000</v>
      </c>
      <c r="M35" s="62">
        <v>419.64</v>
      </c>
      <c r="N35" s="65">
        <v>920575.26</v>
      </c>
      <c r="O35" s="65">
        <v>5.3</v>
      </c>
      <c r="P35" s="64">
        <v>5.3269357418775645</v>
      </c>
      <c r="Q35" s="66">
        <f>IF(OR(ISERROR(L35*$C$20/$C$16),EXACT(MID(B35,1,4),"WPL:")),0,L35*$C$20/$C$16)</f>
        <v>4</v>
      </c>
      <c r="R35" s="67">
        <f>IF(OR(ISERROR(M35*$C$20/$C$16),EXACT(MID(B35,1,4),"WPL:")),0,M35*$C$20/$C$16)</f>
        <v>4</v>
      </c>
      <c r="S35" s="68">
        <f>IF(OR(ISERROR(N35*$C$20/$C$16),EXACT(MID(B35,1,4),"WPL:")),0,N35*$C$20/$C$16)</f>
        <v>4</v>
      </c>
      <c r="T35" s="62">
        <f>IF(OR(ISERROR(L35*$C$21/N56),EXACT(MID(B35,1,4),"WPL:")),0,L35*$C$21/N56)</f>
        <v>4</v>
      </c>
      <c r="U35" s="62">
        <f>IF(OR(ISERROR(M35*$C$21/N56),EXACT(MID(B35,1,4),"WPL:")),0,M35*$C$21/N56)</f>
        <v>4</v>
      </c>
      <c r="V35" s="69">
        <f>IF(OR(ISERROR(M35*$C$20),EXACT(MID(B35,1,4),"WPL:")),0,N35*$C$21/N56)</f>
        <v>4</v>
      </c>
      <c r="W35" s="70">
        <f>IF(OR(ISERROR(L35*$C$20/$C$16),MID(B35,1,4)&lt;&gt;"WPL:"),0,L35*$C$20/$C$16)</f>
        <v>4</v>
      </c>
      <c r="X35" s="65">
        <f>IF(OR(ISERROR(419.64*$C$21/N56),MID(B35,1,4)&lt;&gt;"WPL:"),0,419.64*$C$21/N56)</f>
        <v>4</v>
      </c>
      <c r="Y35" s="71">
        <f>IF(OR(ISERROR(920575.26*$C$20/$C$16),MID(B35,1,4)&lt;&gt;"WPL:"),0,920575.26*$C$20/$C$16)</f>
        <v>4</v>
      </c>
      <c r="Z35" s="72">
        <f>IF(OR(ISERROR(L35*$C$21/N56),MID(B35,1,4)&lt;&gt;"WPL:"),0,L35*$C$21/N56)</f>
        <v>4</v>
      </c>
      <c r="AA35" s="73">
        <f>IF(OR(ISERROR(419.64*$C$21/N56),MID(B35,1,4)&lt;&gt;"WPL:"),0,419.64*$C$21/N56)</f>
        <v>4</v>
      </c>
      <c r="AB35" s="71">
        <f>IF(OR(ISERROR(920575.26*$C$20),MID(B35,1,4)&lt;&gt;"WPL:"),0,920575.26*$C$21/N56)</f>
        <v>4</v>
      </c>
      <c r="AC35" s="69"/>
      <c r="AD35" s="74" t="s">
        <v>255</v>
      </c>
      <c r="AE35" s="74" t="s">
        <v>256</v>
      </c>
      <c r="AF35" s="74">
        <v>8.917808219</v>
      </c>
      <c r="AG35" s="74">
        <v>0.5</v>
      </c>
      <c r="AH35" s="74">
        <v>1</v>
      </c>
      <c r="AI35" s="74">
        <v>0.258523862</v>
      </c>
      <c r="AJ35" s="74">
        <v>8.743096762</v>
      </c>
      <c r="AK35" s="74">
        <v>8.720552054</v>
      </c>
      <c r="AL35" s="74">
        <v>85.702401805</v>
      </c>
      <c r="AM35" s="75" t="s">
        <v>90</v>
      </c>
    </row>
    <row r="36" spans="1:39" ht="13.5" customHeight="1" outlineLevel="1">
      <c r="A36" s="57" t="s">
        <v>257</v>
      </c>
      <c r="B36" s="58" t="s">
        <v>258</v>
      </c>
      <c r="C36" s="59" t="s">
        <v>242</v>
      </c>
      <c r="D36" s="60" t="s">
        <v>243</v>
      </c>
      <c r="E36" s="60">
        <v>110000</v>
      </c>
      <c r="F36" s="58" t="s">
        <v>182</v>
      </c>
      <c r="G36" s="61" t="s">
        <v>183</v>
      </c>
      <c r="H36" s="62">
        <v>34</v>
      </c>
      <c r="I36" s="63">
        <v>102.12604</v>
      </c>
      <c r="J36" s="60" t="s">
        <v>17</v>
      </c>
      <c r="K36" s="61" t="s">
        <v>76</v>
      </c>
      <c r="L36" s="64">
        <v>230262</v>
      </c>
      <c r="M36" s="62"/>
      <c r="N36" s="76"/>
      <c r="O36" s="65">
        <v>0</v>
      </c>
      <c r="P36" s="64">
        <v>0</v>
      </c>
      <c r="Q36" s="66">
        <f>IF(OR(ISERROR(L36*$C$20/$C$16),EXACT(MID(B36,1,4),"WPL:")),0,L36*$C$20/$C$16)</f>
        <v>4</v>
      </c>
      <c r="R36" s="67">
        <f>IF(OR(ISERROR(M36*$C$20/$C$16),EXACT(MID(B36,1,4),"WPL:")),0,M36*$C$20/$C$16)</f>
        <v>4</v>
      </c>
      <c r="S36" s="68">
        <f>IF(OR(ISERROR(N36*$C$20/$C$16),EXACT(MID(B36,1,4),"WPL:")),0,N36*$C$20/$C$16)</f>
        <v>4</v>
      </c>
      <c r="T36" s="62">
        <f>IF(OR(ISERROR(L36*$C$21/N56),EXACT(MID(B36,1,4),"WPL:")),0,L36*$C$21/N56)</f>
        <v>4</v>
      </c>
      <c r="U36" s="62">
        <f>IF(OR(ISERROR(M36*$C$21/N56),EXACT(MID(B36,1,4),"WPL:")),0,M36*$C$21/N56)</f>
        <v>4</v>
      </c>
      <c r="V36" s="69">
        <f>IF(OR(ISERROR(M36*$C$20),EXACT(MID(B36,1,4),"WPL:")),0,N36*$C$21/N56)</f>
        <v>4</v>
      </c>
      <c r="W36" s="70">
        <f>IF(OR(ISERROR(L36*$C$20/$C$16),MID(B36,1,4)&lt;&gt;"WPL:"),0,L36*$C$20/$C$16)</f>
        <v>4</v>
      </c>
      <c r="X36" s="65">
        <f>IF(OR(ISERROR(107.2453093908*$C$21/N56),MID(B36,1,4)&lt;&gt;"WPL:"),0,107.2453093908*$C$21/N56)</f>
        <v>4</v>
      </c>
      <c r="Y36" s="71">
        <f>IF(OR(ISERROR(235157.4622248*$C$20/$C$16),MID(B36,1,4)&lt;&gt;"WPL:"),0,235157.4622248*$C$20/$C$16)</f>
        <v>4</v>
      </c>
      <c r="Z36" s="72">
        <f>IF(OR(ISERROR(L36*$C$21/N56),MID(B36,1,4)&lt;&gt;"WPL:"),0,L36*$C$21/N56)</f>
        <v>4</v>
      </c>
      <c r="AA36" s="73">
        <f>IF(OR(ISERROR(107.2453093908*$C$21/N56),MID(B36,1,4)&lt;&gt;"WPL:"),0,107.2453093908*$C$21/N56)</f>
        <v>4</v>
      </c>
      <c r="AB36" s="71">
        <f>IF(OR(ISERROR(235157.4622248*$C$20),MID(B36,1,4)&lt;&gt;"WPL:"),0,235157.4622248*$C$21/N56)</f>
        <v>4</v>
      </c>
      <c r="AC36" s="69"/>
      <c r="AD36" s="74" t="s">
        <v>255</v>
      </c>
      <c r="AE36" s="74" t="s">
        <v>256</v>
      </c>
      <c r="AF36" s="74">
        <v>8.917808219</v>
      </c>
      <c r="AG36" s="74">
        <v>0.5</v>
      </c>
      <c r="AH36" s="74">
        <v>1</v>
      </c>
      <c r="AI36" s="74">
        <v>0.258523862</v>
      </c>
      <c r="AJ36" s="74">
        <v>8.743096762</v>
      </c>
      <c r="AK36" s="74">
        <v>8.720552054</v>
      </c>
      <c r="AL36" s="74">
        <v>85.702401805</v>
      </c>
      <c r="AM36" s="75" t="s">
        <v>90</v>
      </c>
    </row>
    <row r="37" spans="1:39" ht="13.5" customHeight="1" outlineLevel="1">
      <c r="A37" s="57" t="s">
        <v>270</v>
      </c>
      <c r="B37" s="58" t="s">
        <v>271</v>
      </c>
      <c r="C37" s="59" t="s">
        <v>272</v>
      </c>
      <c r="D37" s="60" t="s">
        <v>273</v>
      </c>
      <c r="E37" s="60">
        <v>110000</v>
      </c>
      <c r="F37" s="58" t="s">
        <v>182</v>
      </c>
      <c r="G37" s="61" t="s">
        <v>183</v>
      </c>
      <c r="H37" s="62">
        <v>249</v>
      </c>
      <c r="I37" s="63">
        <v>96.663</v>
      </c>
      <c r="J37" s="60" t="s">
        <v>17</v>
      </c>
      <c r="K37" s="61" t="s">
        <v>76</v>
      </c>
      <c r="L37" s="64">
        <v>866000</v>
      </c>
      <c r="M37" s="62">
        <v>0</v>
      </c>
      <c r="N37" s="65">
        <v>837101.58</v>
      </c>
      <c r="O37" s="65">
        <v>4.8</v>
      </c>
      <c r="P37" s="64">
        <v>4.8439128443275585</v>
      </c>
      <c r="Q37" s="66">
        <f>IF(OR(ISERROR(L37*$C$20/$C$16),EXACT(MID(B37,1,4),"WPL:")),0,L37*$C$20/$C$16)</f>
        <v>4</v>
      </c>
      <c r="R37" s="67">
        <f>IF(OR(ISERROR(M37*$C$20/$C$16),EXACT(MID(B37,1,4),"WPL:")),0,M37*$C$20/$C$16)</f>
        <v>4</v>
      </c>
      <c r="S37" s="68">
        <f>IF(OR(ISERROR(N37*$C$20/$C$16),EXACT(MID(B37,1,4),"WPL:")),0,N37*$C$20/$C$16)</f>
        <v>4</v>
      </c>
      <c r="T37" s="62">
        <f>IF(OR(ISERROR(L37*$C$21/N56),EXACT(MID(B37,1,4),"WPL:")),0,L37*$C$21/N56)</f>
        <v>4</v>
      </c>
      <c r="U37" s="62">
        <f>IF(OR(ISERROR(M37*$C$21/N56),EXACT(MID(B37,1,4),"WPL:")),0,M37*$C$21/N56)</f>
        <v>4</v>
      </c>
      <c r="V37" s="69">
        <f>IF(OR(ISERROR(M37*$C$20),EXACT(MID(B37,1,4),"WPL:")),0,N37*$C$21/N56)</f>
        <v>4</v>
      </c>
      <c r="W37" s="70">
        <f>IF(OR(ISERROR(L37*$C$20/$C$16),MID(B37,1,4)&lt;&gt;"WPL:"),0,L37*$C$20/$C$16)</f>
        <v>4</v>
      </c>
      <c r="X37" s="65">
        <f>IF(OR(ISERROR(0*$C$21/N56),MID(B37,1,4)&lt;&gt;"WPL:"),0,0*$C$21/N56)</f>
        <v>4</v>
      </c>
      <c r="Y37" s="71">
        <f>IF(OR(ISERROR(837101.58*$C$20/$C$16),MID(B37,1,4)&lt;&gt;"WPL:"),0,837101.58*$C$20/$C$16)</f>
        <v>4</v>
      </c>
      <c r="Z37" s="72">
        <f>IF(OR(ISERROR(L37*$C$21/N56),MID(B37,1,4)&lt;&gt;"WPL:"),0,L37*$C$21/N56)</f>
        <v>4</v>
      </c>
      <c r="AA37" s="73">
        <f>IF(OR(ISERROR(0*$C$21/N56),MID(B37,1,4)&lt;&gt;"WPL:"),0,0*$C$21/N56)</f>
        <v>4</v>
      </c>
      <c r="AB37" s="71">
        <f>IF(OR(ISERROR(837101.58*$C$20),MID(B37,1,4)&lt;&gt;"WPL:"),0,837101.58*$C$21/N56)</f>
        <v>4</v>
      </c>
      <c r="AC37" s="69"/>
      <c r="AD37" s="74" t="s">
        <v>285</v>
      </c>
      <c r="AE37" s="74" t="s">
        <v>286</v>
      </c>
      <c r="AF37" s="74">
        <v>9.41369863</v>
      </c>
      <c r="AG37" s="74">
        <v>0</v>
      </c>
      <c r="AH37" s="74">
        <v>1</v>
      </c>
      <c r="AI37" s="74">
        <v>0.361183631</v>
      </c>
      <c r="AJ37" s="74">
        <v>9.41369863</v>
      </c>
      <c r="AK37" s="74">
        <v>9.379820255</v>
      </c>
      <c r="AL37" s="74">
        <v>97.327091814</v>
      </c>
      <c r="AM37" s="75" t="s">
        <v>90</v>
      </c>
    </row>
    <row r="38" spans="1:39" ht="13.5" customHeight="1" outlineLevel="1">
      <c r="A38" s="57" t="s">
        <v>287</v>
      </c>
      <c r="B38" s="58" t="s">
        <v>288</v>
      </c>
      <c r="C38" s="59" t="s">
        <v>272</v>
      </c>
      <c r="D38" s="60" t="s">
        <v>273</v>
      </c>
      <c r="E38" s="60">
        <v>110000</v>
      </c>
      <c r="F38" s="58" t="s">
        <v>182</v>
      </c>
      <c r="G38" s="61" t="s">
        <v>183</v>
      </c>
      <c r="H38" s="62">
        <v>249</v>
      </c>
      <c r="I38" s="63">
        <v>96.663</v>
      </c>
      <c r="J38" s="60" t="s">
        <v>17</v>
      </c>
      <c r="K38" s="61" t="s">
        <v>76</v>
      </c>
      <c r="L38" s="64">
        <v>497738</v>
      </c>
      <c r="M38" s="62"/>
      <c r="N38" s="76"/>
      <c r="O38" s="65">
        <v>0</v>
      </c>
      <c r="P38" s="64">
        <v>0</v>
      </c>
      <c r="Q38" s="66">
        <f>IF(OR(ISERROR(L38*$C$20/$C$16),EXACT(MID(B38,1,4),"WPL:")),0,L38*$C$20/$C$16)</f>
        <v>4</v>
      </c>
      <c r="R38" s="67">
        <f>IF(OR(ISERROR(M38*$C$20/$C$16),EXACT(MID(B38,1,4),"WPL:")),0,M38*$C$20/$C$16)</f>
        <v>4</v>
      </c>
      <c r="S38" s="68">
        <f>IF(OR(ISERROR(N38*$C$20/$C$16),EXACT(MID(B38,1,4),"WPL:")),0,N38*$C$20/$C$16)</f>
        <v>4</v>
      </c>
      <c r="T38" s="62">
        <f>IF(OR(ISERROR(L38*$C$21/N56),EXACT(MID(B38,1,4),"WPL:")),0,L38*$C$21/N56)</f>
        <v>4</v>
      </c>
      <c r="U38" s="62">
        <f>IF(OR(ISERROR(M38*$C$21/N56),EXACT(MID(B38,1,4),"WPL:")),0,M38*$C$21/N56)</f>
        <v>4</v>
      </c>
      <c r="V38" s="69">
        <f>IF(OR(ISERROR(M38*$C$20),EXACT(MID(B38,1,4),"WPL:")),0,N38*$C$21/N56)</f>
        <v>4</v>
      </c>
      <c r="W38" s="70">
        <f>IF(OR(ISERROR(L38*$C$20/$C$16),MID(B38,1,4)&lt;&gt;"WPL:"),0,L38*$C$20/$C$16)</f>
        <v>4</v>
      </c>
      <c r="X38" s="65">
        <f>IF(OR(ISERROR(0*$C$21/N56),MID(B38,1,4)&lt;&gt;"WPL:"),0,0*$C$21/N56)</f>
        <v>4</v>
      </c>
      <c r="Y38" s="71">
        <f>IF(OR(ISERROR(481128.48294*$C$20/$C$16),MID(B38,1,4)&lt;&gt;"WPL:"),0,481128.48294*$C$20/$C$16)</f>
        <v>4</v>
      </c>
      <c r="Z38" s="72">
        <f>IF(OR(ISERROR(L38*$C$21/N56),MID(B38,1,4)&lt;&gt;"WPL:"),0,L38*$C$21/N56)</f>
        <v>4</v>
      </c>
      <c r="AA38" s="73">
        <f>IF(OR(ISERROR(0*$C$21/N56),MID(B38,1,4)&lt;&gt;"WPL:"),0,0*$C$21/N56)</f>
        <v>4</v>
      </c>
      <c r="AB38" s="71">
        <f>IF(OR(ISERROR(481128.48294*$C$20),MID(B38,1,4)&lt;&gt;"WPL:"),0,481128.48294*$C$21/N56)</f>
        <v>4</v>
      </c>
      <c r="AC38" s="69"/>
      <c r="AD38" s="74" t="s">
        <v>285</v>
      </c>
      <c r="AE38" s="74" t="s">
        <v>286</v>
      </c>
      <c r="AF38" s="74">
        <v>9.41369863</v>
      </c>
      <c r="AG38" s="74">
        <v>0</v>
      </c>
      <c r="AH38" s="74">
        <v>1</v>
      </c>
      <c r="AI38" s="74">
        <v>0.361183631</v>
      </c>
      <c r="AJ38" s="74">
        <v>9.41369863</v>
      </c>
      <c r="AK38" s="74">
        <v>9.379820255</v>
      </c>
      <c r="AL38" s="74">
        <v>97.327091814</v>
      </c>
      <c r="AM38" s="75" t="s">
        <v>90</v>
      </c>
    </row>
    <row r="39" spans="1:39" ht="13.5" customHeight="1" outlineLevel="1">
      <c r="A39" s="57" t="s">
        <v>300</v>
      </c>
      <c r="B39" s="58" t="s">
        <v>301</v>
      </c>
      <c r="C39" s="59" t="s">
        <v>302</v>
      </c>
      <c r="D39" s="60" t="s">
        <v>303</v>
      </c>
      <c r="E39" s="60">
        <v>458634</v>
      </c>
      <c r="F39" s="58" t="s">
        <v>304</v>
      </c>
      <c r="G39" s="61" t="s">
        <v>304</v>
      </c>
      <c r="H39" s="62">
        <v>141</v>
      </c>
      <c r="I39" s="63">
        <v>109.61509</v>
      </c>
      <c r="J39" s="60" t="s">
        <v>17</v>
      </c>
      <c r="K39" s="61" t="s">
        <v>76</v>
      </c>
      <c r="L39" s="64">
        <v>834000</v>
      </c>
      <c r="M39" s="62">
        <v>8859.82</v>
      </c>
      <c r="N39" s="65">
        <v>923049.67</v>
      </c>
      <c r="O39" s="65">
        <v>5.3</v>
      </c>
      <c r="P39" s="64">
        <v>5.341253987915438</v>
      </c>
      <c r="Q39" s="66">
        <f>IF(OR(ISERROR(L39*$C$20/$C$16),EXACT(MID(B39,1,4),"WPL:")),0,L39*$C$20/$C$16)</f>
        <v>4</v>
      </c>
      <c r="R39" s="67">
        <f>IF(OR(ISERROR(M39*$C$20/$C$16),EXACT(MID(B39,1,4),"WPL:")),0,M39*$C$20/$C$16)</f>
        <v>4</v>
      </c>
      <c r="S39" s="68">
        <f>IF(OR(ISERROR(N39*$C$20/$C$16),EXACT(MID(B39,1,4),"WPL:")),0,N39*$C$20/$C$16)</f>
        <v>4</v>
      </c>
      <c r="T39" s="62">
        <f>IF(OR(ISERROR(L39*$C$21/N56),EXACT(MID(B39,1,4),"WPL:")),0,L39*$C$21/N56)</f>
        <v>4</v>
      </c>
      <c r="U39" s="62">
        <f>IF(OR(ISERROR(M39*$C$21/N56),EXACT(MID(B39,1,4),"WPL:")),0,M39*$C$21/N56)</f>
        <v>4</v>
      </c>
      <c r="V39" s="69">
        <f>IF(OR(ISERROR(M39*$C$20),EXACT(MID(B39,1,4),"WPL:")),0,N39*$C$21/N56)</f>
        <v>4</v>
      </c>
      <c r="W39" s="70">
        <f>IF(OR(ISERROR(L39*$C$20/$C$16),MID(B39,1,4)&lt;&gt;"WPL:"),0,L39*$C$20/$C$16)</f>
        <v>4</v>
      </c>
      <c r="X39" s="65">
        <f>IF(OR(ISERROR(8859.82*$C$21/N56),MID(B39,1,4)&lt;&gt;"WPL:"),0,8859.82*$C$21/N56)</f>
        <v>4</v>
      </c>
      <c r="Y39" s="71">
        <f>IF(OR(ISERROR(923049.67*$C$20/$C$16),MID(B39,1,4)&lt;&gt;"WPL:"),0,923049.67*$C$20/$C$16)</f>
        <v>4</v>
      </c>
      <c r="Z39" s="72">
        <f>IF(OR(ISERROR(L39*$C$21/N56),MID(B39,1,4)&lt;&gt;"WPL:"),0,L39*$C$21/N56)</f>
        <v>4</v>
      </c>
      <c r="AA39" s="73">
        <f>IF(OR(ISERROR(8859.82*$C$21/N56),MID(B39,1,4)&lt;&gt;"WPL:"),0,8859.82*$C$21/N56)</f>
        <v>4</v>
      </c>
      <c r="AB39" s="71">
        <f>IF(OR(ISERROR(923049.67*$C$20),MID(B39,1,4)&lt;&gt;"WPL:"),0,923049.67*$C$21/N56)</f>
        <v>4</v>
      </c>
      <c r="AC39" s="69"/>
      <c r="AD39" s="74" t="s">
        <v>316</v>
      </c>
      <c r="AE39" s="74" t="s">
        <v>317</v>
      </c>
      <c r="AF39" s="74">
        <v>7.624657534</v>
      </c>
      <c r="AG39" s="74">
        <v>2.75</v>
      </c>
      <c r="AH39" s="74">
        <v>1</v>
      </c>
      <c r="AI39" s="74">
        <v>1.410433331</v>
      </c>
      <c r="AJ39" s="74">
        <v>6.953673293</v>
      </c>
      <c r="AK39" s="74">
        <v>6.856960437</v>
      </c>
      <c r="AL39" s="74">
        <v>56.631184701</v>
      </c>
      <c r="AM39" s="75" t="s">
        <v>90</v>
      </c>
    </row>
    <row r="40" spans="1:39" ht="13.5" customHeight="1" outlineLevel="1">
      <c r="A40" s="57" t="s">
        <v>318</v>
      </c>
      <c r="B40" s="58" t="s">
        <v>319</v>
      </c>
      <c r="C40" s="59" t="s">
        <v>320</v>
      </c>
      <c r="D40" s="60" t="s">
        <v>321</v>
      </c>
      <c r="E40" s="60">
        <v>458634</v>
      </c>
      <c r="F40" s="58" t="s">
        <v>304</v>
      </c>
      <c r="G40" s="61" t="s">
        <v>304</v>
      </c>
      <c r="H40" s="62">
        <v>325</v>
      </c>
      <c r="I40" s="63">
        <v>100.605</v>
      </c>
      <c r="J40" s="60" t="s">
        <v>17</v>
      </c>
      <c r="K40" s="61" t="s">
        <v>76</v>
      </c>
      <c r="L40" s="64">
        <v>733000</v>
      </c>
      <c r="M40" s="62">
        <v>10442.74</v>
      </c>
      <c r="N40" s="65">
        <v>747877.39</v>
      </c>
      <c r="O40" s="65">
        <v>4.3</v>
      </c>
      <c r="P40" s="64">
        <v>4.327614452003746</v>
      </c>
      <c r="Q40" s="66">
        <f>IF(OR(ISERROR(L40*$C$20/$C$16),EXACT(MID(B40,1,4),"WPL:")),0,L40*$C$20/$C$16)</f>
        <v>4</v>
      </c>
      <c r="R40" s="67">
        <f>IF(OR(ISERROR(M40*$C$20/$C$16),EXACT(MID(B40,1,4),"WPL:")),0,M40*$C$20/$C$16)</f>
        <v>4</v>
      </c>
      <c r="S40" s="68">
        <f>IF(OR(ISERROR(N40*$C$20/$C$16),EXACT(MID(B40,1,4),"WPL:")),0,N40*$C$20/$C$16)</f>
        <v>4</v>
      </c>
      <c r="T40" s="62">
        <f>IF(OR(ISERROR(L40*$C$21/N56),EXACT(MID(B40,1,4),"WPL:")),0,L40*$C$21/N56)</f>
        <v>4</v>
      </c>
      <c r="U40" s="62">
        <f>IF(OR(ISERROR(M40*$C$21/N56),EXACT(MID(B40,1,4),"WPL:")),0,M40*$C$21/N56)</f>
        <v>4</v>
      </c>
      <c r="V40" s="69">
        <f>IF(OR(ISERROR(M40*$C$20),EXACT(MID(B40,1,4),"WPL:")),0,N40*$C$21/N56)</f>
        <v>4</v>
      </c>
      <c r="W40" s="70">
        <f>IF(OR(ISERROR(L40*$C$20/$C$16),MID(B40,1,4)&lt;&gt;"WPL:"),0,L40*$C$20/$C$16)</f>
        <v>4</v>
      </c>
      <c r="X40" s="65">
        <f>IF(OR(ISERROR(10442.74*$C$21/N56),MID(B40,1,4)&lt;&gt;"WPL:"),0,10442.74*$C$21/N56)</f>
        <v>4</v>
      </c>
      <c r="Y40" s="71">
        <f>IF(OR(ISERROR(747877.39*$C$20/$C$16),MID(B40,1,4)&lt;&gt;"WPL:"),0,747877.39*$C$20/$C$16)</f>
        <v>4</v>
      </c>
      <c r="Z40" s="72">
        <f>IF(OR(ISERROR(L40*$C$21/N56),MID(B40,1,4)&lt;&gt;"WPL:"),0,L40*$C$21/N56)</f>
        <v>4</v>
      </c>
      <c r="AA40" s="73">
        <f>IF(OR(ISERROR(10442.74*$C$21/N56),MID(B40,1,4)&lt;&gt;"WPL:"),0,10442.74*$C$21/N56)</f>
        <v>4</v>
      </c>
      <c r="AB40" s="71">
        <f>IF(OR(ISERROR(747877.39*$C$20),MID(B40,1,4)&lt;&gt;"WPL:"),0,747877.39*$C$21/N56)</f>
        <v>4</v>
      </c>
      <c r="AC40" s="69"/>
      <c r="AD40" s="74" t="s">
        <v>333</v>
      </c>
      <c r="AE40" s="74" t="s">
        <v>334</v>
      </c>
      <c r="AF40" s="74">
        <v>8.120547945</v>
      </c>
      <c r="AG40" s="74">
        <v>1.6</v>
      </c>
      <c r="AH40" s="74">
        <v>1</v>
      </c>
      <c r="AI40" s="74">
        <v>1.520071732</v>
      </c>
      <c r="AJ40" s="74">
        <v>7.576190502</v>
      </c>
      <c r="AK40" s="74">
        <v>7.462751329</v>
      </c>
      <c r="AL40" s="74">
        <v>65.779879224</v>
      </c>
      <c r="AM40" s="75" t="s">
        <v>90</v>
      </c>
    </row>
    <row r="41" spans="1:39" ht="13.5" customHeight="1" outlineLevel="1">
      <c r="A41" s="57" t="s">
        <v>335</v>
      </c>
      <c r="B41" s="58" t="s">
        <v>336</v>
      </c>
      <c r="C41" s="59" t="s">
        <v>337</v>
      </c>
      <c r="D41" s="60" t="s">
        <v>338</v>
      </c>
      <c r="E41" s="60">
        <v>458634</v>
      </c>
      <c r="F41" s="58" t="s">
        <v>304</v>
      </c>
      <c r="G41" s="61" t="s">
        <v>304</v>
      </c>
      <c r="H41" s="62">
        <v>141</v>
      </c>
      <c r="I41" s="63">
        <v>103.91094</v>
      </c>
      <c r="J41" s="60" t="s">
        <v>17</v>
      </c>
      <c r="K41" s="61" t="s">
        <v>76</v>
      </c>
      <c r="L41" s="64">
        <v>780000</v>
      </c>
      <c r="M41" s="62">
        <v>6478.27</v>
      </c>
      <c r="N41" s="65">
        <v>816983.6</v>
      </c>
      <c r="O41" s="65">
        <v>4.7</v>
      </c>
      <c r="P41" s="64">
        <v>4.727499563009985</v>
      </c>
      <c r="Q41" s="66">
        <f>IF(OR(ISERROR(L41*$C$20/$C$16),EXACT(MID(B41,1,4),"WPL:")),0,L41*$C$20/$C$16)</f>
        <v>4</v>
      </c>
      <c r="R41" s="67">
        <f>IF(OR(ISERROR(M41*$C$20/$C$16),EXACT(MID(B41,1,4),"WPL:")),0,M41*$C$20/$C$16)</f>
        <v>4</v>
      </c>
      <c r="S41" s="68">
        <f>IF(OR(ISERROR(N41*$C$20/$C$16),EXACT(MID(B41,1,4),"WPL:")),0,N41*$C$20/$C$16)</f>
        <v>4</v>
      </c>
      <c r="T41" s="62">
        <f>IF(OR(ISERROR(L41*$C$21/N56),EXACT(MID(B41,1,4),"WPL:")),0,L41*$C$21/N56)</f>
        <v>4</v>
      </c>
      <c r="U41" s="62">
        <f>IF(OR(ISERROR(M41*$C$21/N56),EXACT(MID(B41,1,4),"WPL:")),0,M41*$C$21/N56)</f>
        <v>4</v>
      </c>
      <c r="V41" s="69">
        <f>IF(OR(ISERROR(M41*$C$20),EXACT(MID(B41,1,4),"WPL:")),0,N41*$C$21/N56)</f>
        <v>4</v>
      </c>
      <c r="W41" s="70">
        <f>IF(OR(ISERROR(L41*$C$20/$C$16),MID(B41,1,4)&lt;&gt;"WPL:"),0,L41*$C$20/$C$16)</f>
        <v>4</v>
      </c>
      <c r="X41" s="65">
        <f>IF(OR(ISERROR(6478.27*$C$21/N56),MID(B41,1,4)&lt;&gt;"WPL:"),0,6478.27*$C$21/N56)</f>
        <v>4</v>
      </c>
      <c r="Y41" s="71">
        <f>IF(OR(ISERROR(816983.6*$C$20/$C$16),MID(B41,1,4)&lt;&gt;"WPL:"),0,816983.6*$C$20/$C$16)</f>
        <v>4</v>
      </c>
      <c r="Z41" s="72">
        <f>IF(OR(ISERROR(L41*$C$21/N56),MID(B41,1,4)&lt;&gt;"WPL:"),0,L41*$C$21/N56)</f>
        <v>4</v>
      </c>
      <c r="AA41" s="73">
        <f>IF(OR(ISERROR(6478.27*$C$21/N56),MID(B41,1,4)&lt;&gt;"WPL:"),0,6478.27*$C$21/N56)</f>
        <v>4</v>
      </c>
      <c r="AB41" s="71">
        <f>IF(OR(ISERROR(816983.6*$C$20),MID(B41,1,4)&lt;&gt;"WPL:"),0,816983.6*$C$21/N56)</f>
        <v>4</v>
      </c>
      <c r="AC41" s="69"/>
      <c r="AD41" s="74" t="s">
        <v>350</v>
      </c>
      <c r="AE41" s="74" t="s">
        <v>351</v>
      </c>
      <c r="AF41" s="74">
        <v>8.624657534</v>
      </c>
      <c r="AG41" s="74">
        <v>2.15</v>
      </c>
      <c r="AH41" s="74">
        <v>1</v>
      </c>
      <c r="AI41" s="74">
        <v>1.659059219</v>
      </c>
      <c r="AJ41" s="74">
        <v>7.920274199</v>
      </c>
      <c r="AK41" s="74">
        <v>7.791016619</v>
      </c>
      <c r="AL41" s="74">
        <v>71.78920457</v>
      </c>
      <c r="AM41" s="75" t="s">
        <v>90</v>
      </c>
    </row>
    <row r="42" spans="1:39" ht="13.5" customHeight="1" outlineLevel="1">
      <c r="A42" s="57" t="s">
        <v>352</v>
      </c>
      <c r="B42" s="58" t="s">
        <v>353</v>
      </c>
      <c r="C42" s="59" t="s">
        <v>354</v>
      </c>
      <c r="D42" s="60" t="s">
        <v>355</v>
      </c>
      <c r="E42" s="60">
        <v>458634</v>
      </c>
      <c r="F42" s="58" t="s">
        <v>304</v>
      </c>
      <c r="G42" s="61" t="s">
        <v>304</v>
      </c>
      <c r="H42" s="62">
        <v>325</v>
      </c>
      <c r="I42" s="63">
        <v>101.81763</v>
      </c>
      <c r="J42" s="60" t="s">
        <v>17</v>
      </c>
      <c r="K42" s="61" t="s">
        <v>76</v>
      </c>
      <c r="L42" s="64">
        <v>740000</v>
      </c>
      <c r="M42" s="62">
        <v>12848.63</v>
      </c>
      <c r="N42" s="65">
        <v>766299.09</v>
      </c>
      <c r="O42" s="65">
        <v>4.4</v>
      </c>
      <c r="P42" s="64">
        <v>4.434212159350505</v>
      </c>
      <c r="Q42" s="66">
        <f>IF(OR(ISERROR(L42*$C$20/$C$16),EXACT(MID(B42,1,4),"WPL:")),0,L42*$C$20/$C$16)</f>
        <v>4</v>
      </c>
      <c r="R42" s="67">
        <f>IF(OR(ISERROR(M42*$C$20/$C$16),EXACT(MID(B42,1,4),"WPL:")),0,M42*$C$20/$C$16)</f>
        <v>4</v>
      </c>
      <c r="S42" s="68">
        <f>IF(OR(ISERROR(N42*$C$20/$C$16),EXACT(MID(B42,1,4),"WPL:")),0,N42*$C$20/$C$16)</f>
        <v>4</v>
      </c>
      <c r="T42" s="62">
        <f>IF(OR(ISERROR(L42*$C$21/N56),EXACT(MID(B42,1,4),"WPL:")),0,L42*$C$21/N56)</f>
        <v>4</v>
      </c>
      <c r="U42" s="62">
        <f>IF(OR(ISERROR(M42*$C$21/N56),EXACT(MID(B42,1,4),"WPL:")),0,M42*$C$21/N56)</f>
        <v>4</v>
      </c>
      <c r="V42" s="69">
        <f>IF(OR(ISERROR(M42*$C$20),EXACT(MID(B42,1,4),"WPL:")),0,N42*$C$21/N56)</f>
        <v>4</v>
      </c>
      <c r="W42" s="70">
        <f>IF(OR(ISERROR(L42*$C$20/$C$16),MID(B42,1,4)&lt;&gt;"WPL:"),0,L42*$C$20/$C$16)</f>
        <v>4</v>
      </c>
      <c r="X42" s="65">
        <f>IF(OR(ISERROR(12848.63*$C$21/N56),MID(B42,1,4)&lt;&gt;"WPL:"),0,12848.63*$C$21/N56)</f>
        <v>4</v>
      </c>
      <c r="Y42" s="71">
        <f>IF(OR(ISERROR(766299.09*$C$20/$C$16),MID(B42,1,4)&lt;&gt;"WPL:"),0,766299.09*$C$20/$C$16)</f>
        <v>4</v>
      </c>
      <c r="Z42" s="72">
        <f>IF(OR(ISERROR(L42*$C$21/N56),MID(B42,1,4)&lt;&gt;"WPL:"),0,L42*$C$21/N56)</f>
        <v>4</v>
      </c>
      <c r="AA42" s="73">
        <f>IF(OR(ISERROR(12848.63*$C$21/N56),MID(B42,1,4)&lt;&gt;"WPL:"),0,12848.63*$C$21/N56)</f>
        <v>4</v>
      </c>
      <c r="AB42" s="71">
        <f>IF(OR(ISERROR(766299.09*$C$20),MID(B42,1,4)&lt;&gt;"WPL:"),0,766299.09*$C$21/N56)</f>
        <v>4</v>
      </c>
      <c r="AC42" s="69"/>
      <c r="AD42" s="74" t="s">
        <v>367</v>
      </c>
      <c r="AE42" s="74" t="s">
        <v>368</v>
      </c>
      <c r="AF42" s="74">
        <v>9.120547945</v>
      </c>
      <c r="AG42" s="74">
        <v>1.95</v>
      </c>
      <c r="AH42" s="74">
        <v>1</v>
      </c>
      <c r="AI42" s="74">
        <v>1.732619012</v>
      </c>
      <c r="AJ42" s="74">
        <v>8.312033324</v>
      </c>
      <c r="AK42" s="74">
        <v>8.170470203</v>
      </c>
      <c r="AL42" s="74">
        <v>79.168824167</v>
      </c>
      <c r="AM42" s="75" t="s">
        <v>90</v>
      </c>
    </row>
    <row r="43" spans="1:39" ht="13.5" customHeight="1" outlineLevel="1">
      <c r="A43" s="57" t="s">
        <v>369</v>
      </c>
      <c r="B43" s="58" t="s">
        <v>370</v>
      </c>
      <c r="C43" s="59" t="s">
        <v>371</v>
      </c>
      <c r="D43" s="60" t="s">
        <v>372</v>
      </c>
      <c r="E43" s="60">
        <v>450287</v>
      </c>
      <c r="F43" s="58" t="s">
        <v>373</v>
      </c>
      <c r="G43" s="61" t="s">
        <v>373</v>
      </c>
      <c r="H43" s="62">
        <v>116</v>
      </c>
      <c r="I43" s="63">
        <v>107.50633</v>
      </c>
      <c r="J43" s="60" t="s">
        <v>17</v>
      </c>
      <c r="K43" s="61" t="s">
        <v>76</v>
      </c>
      <c r="L43" s="64">
        <v>884000</v>
      </c>
      <c r="M43" s="62">
        <v>4916.49</v>
      </c>
      <c r="N43" s="65">
        <v>955272.45</v>
      </c>
      <c r="O43" s="65">
        <v>5.5</v>
      </c>
      <c r="P43" s="64">
        <v>5.5277120494591045</v>
      </c>
      <c r="Q43" s="66">
        <f>IF(OR(ISERROR(L43*$C$20/$C$16),EXACT(MID(B43,1,4),"WPL:")),0,L43*$C$20/$C$16)</f>
        <v>4</v>
      </c>
      <c r="R43" s="67">
        <f>IF(OR(ISERROR(M43*$C$20/$C$16),EXACT(MID(B43,1,4),"WPL:")),0,M43*$C$20/$C$16)</f>
        <v>4</v>
      </c>
      <c r="S43" s="68">
        <f>IF(OR(ISERROR(N43*$C$20/$C$16),EXACT(MID(B43,1,4),"WPL:")),0,N43*$C$20/$C$16)</f>
        <v>4</v>
      </c>
      <c r="T43" s="62">
        <f>IF(OR(ISERROR(L43*$C$21/N56),EXACT(MID(B43,1,4),"WPL:")),0,L43*$C$21/N56)</f>
        <v>4</v>
      </c>
      <c r="U43" s="62">
        <f>IF(OR(ISERROR(M43*$C$21/N56),EXACT(MID(B43,1,4),"WPL:")),0,M43*$C$21/N56)</f>
        <v>4</v>
      </c>
      <c r="V43" s="69">
        <f>IF(OR(ISERROR(M43*$C$20),EXACT(MID(B43,1,4),"WPL:")),0,N43*$C$21/N56)</f>
        <v>4</v>
      </c>
      <c r="W43" s="70">
        <f>IF(OR(ISERROR(L43*$C$20/$C$16),MID(B43,1,4)&lt;&gt;"WPL:"),0,L43*$C$20/$C$16)</f>
        <v>4</v>
      </c>
      <c r="X43" s="65">
        <f>IF(OR(ISERROR(4916.49*$C$21/N56),MID(B43,1,4)&lt;&gt;"WPL:"),0,4916.49*$C$21/N56)</f>
        <v>4</v>
      </c>
      <c r="Y43" s="71">
        <f>IF(OR(ISERROR(955272.45*$C$20/$C$16),MID(B43,1,4)&lt;&gt;"WPL:"),0,955272.45*$C$20/$C$16)</f>
        <v>4</v>
      </c>
      <c r="Z43" s="72">
        <f>IF(OR(ISERROR(L43*$C$21/N56),MID(B43,1,4)&lt;&gt;"WPL:"),0,L43*$C$21/N56)</f>
        <v>4</v>
      </c>
      <c r="AA43" s="73">
        <f>IF(OR(ISERROR(4916.49*$C$21/N56),MID(B43,1,4)&lt;&gt;"WPL:"),0,4916.49*$C$21/N56)</f>
        <v>4</v>
      </c>
      <c r="AB43" s="71">
        <f>IF(OR(ISERROR(955272.45*$C$20),MID(B43,1,4)&lt;&gt;"WPL:"),0,955272.45*$C$21/N56)</f>
        <v>4</v>
      </c>
      <c r="AC43" s="69"/>
      <c r="AD43" s="74" t="s">
        <v>385</v>
      </c>
      <c r="AE43" s="74" t="s">
        <v>386</v>
      </c>
      <c r="AF43" s="74">
        <v>7.693150685</v>
      </c>
      <c r="AG43" s="74">
        <v>1.75</v>
      </c>
      <c r="AH43" s="74">
        <v>1</v>
      </c>
      <c r="AI43" s="74">
        <v>0.742356136</v>
      </c>
      <c r="AJ43" s="74">
        <v>7.248536779</v>
      </c>
      <c r="AK43" s="74">
        <v>7.195123339</v>
      </c>
      <c r="AL43" s="74">
        <v>60.917236056</v>
      </c>
      <c r="AM43" s="75" t="s">
        <v>90</v>
      </c>
    </row>
    <row r="44" spans="1:39" ht="13.5" customHeight="1" outlineLevel="1">
      <c r="A44" s="57" t="s">
        <v>387</v>
      </c>
      <c r="B44" s="58" t="s">
        <v>388</v>
      </c>
      <c r="C44" s="59" t="s">
        <v>389</v>
      </c>
      <c r="D44" s="60" t="s">
        <v>390</v>
      </c>
      <c r="E44" s="60">
        <v>450287</v>
      </c>
      <c r="F44" s="58" t="s">
        <v>373</v>
      </c>
      <c r="G44" s="61" t="s">
        <v>373</v>
      </c>
      <c r="H44" s="62">
        <v>300</v>
      </c>
      <c r="I44" s="63">
        <v>97.30967</v>
      </c>
      <c r="J44" s="60" t="s">
        <v>17</v>
      </c>
      <c r="K44" s="61" t="s">
        <v>76</v>
      </c>
      <c r="L44" s="64">
        <v>961000</v>
      </c>
      <c r="M44" s="62">
        <v>3949.32</v>
      </c>
      <c r="N44" s="65">
        <v>939095.25</v>
      </c>
      <c r="O44" s="65">
        <v>5.4</v>
      </c>
      <c r="P44" s="64">
        <v>5.434102207192106</v>
      </c>
      <c r="Q44" s="66">
        <f>IF(OR(ISERROR(L44*$C$20/$C$16),EXACT(MID(B44,1,4),"WPL:")),0,L44*$C$20/$C$16)</f>
        <v>4</v>
      </c>
      <c r="R44" s="67">
        <f>IF(OR(ISERROR(M44*$C$20/$C$16),EXACT(MID(B44,1,4),"WPL:")),0,M44*$C$20/$C$16)</f>
        <v>4</v>
      </c>
      <c r="S44" s="68">
        <f>IF(OR(ISERROR(N44*$C$20/$C$16),EXACT(MID(B44,1,4),"WPL:")),0,N44*$C$20/$C$16)</f>
        <v>4</v>
      </c>
      <c r="T44" s="62">
        <f>IF(OR(ISERROR(L44*$C$21/N56),EXACT(MID(B44,1,4),"WPL:")),0,L44*$C$21/N56)</f>
        <v>4</v>
      </c>
      <c r="U44" s="62">
        <f>IF(OR(ISERROR(M44*$C$21/N56),EXACT(MID(B44,1,4),"WPL:")),0,M44*$C$21/N56)</f>
        <v>4</v>
      </c>
      <c r="V44" s="69">
        <f>IF(OR(ISERROR(M44*$C$20),EXACT(MID(B44,1,4),"WPL:")),0,N44*$C$21/N56)</f>
        <v>4</v>
      </c>
      <c r="W44" s="70">
        <f>IF(OR(ISERROR(L44*$C$20/$C$16),MID(B44,1,4)&lt;&gt;"WPL:"),0,L44*$C$20/$C$16)</f>
        <v>4</v>
      </c>
      <c r="X44" s="65">
        <f>IF(OR(ISERROR(3949.32*$C$21/N56),MID(B44,1,4)&lt;&gt;"WPL:"),0,3949.32*$C$21/N56)</f>
        <v>4</v>
      </c>
      <c r="Y44" s="71">
        <f>IF(OR(ISERROR(939095.25*$C$20/$C$16),MID(B44,1,4)&lt;&gt;"WPL:"),0,939095.25*$C$20/$C$16)</f>
        <v>4</v>
      </c>
      <c r="Z44" s="72">
        <f>IF(OR(ISERROR(L44*$C$21/N56),MID(B44,1,4)&lt;&gt;"WPL:"),0,L44*$C$21/N56)</f>
        <v>4</v>
      </c>
      <c r="AA44" s="73">
        <f>IF(OR(ISERROR(3949.32*$C$21/N56),MID(B44,1,4)&lt;&gt;"WPL:"),0,3949.32*$C$21/N56)</f>
        <v>4</v>
      </c>
      <c r="AB44" s="71">
        <f>IF(OR(ISERROR(939095.25*$C$20),MID(B44,1,4)&lt;&gt;"WPL:"),0,939095.25*$C$21/N56)</f>
        <v>4</v>
      </c>
      <c r="AC44" s="69"/>
      <c r="AD44" s="74" t="s">
        <v>402</v>
      </c>
      <c r="AE44" s="74" t="s">
        <v>403</v>
      </c>
      <c r="AF44" s="74">
        <v>8.189041096</v>
      </c>
      <c r="AG44" s="74">
        <v>0.5</v>
      </c>
      <c r="AH44" s="74">
        <v>1</v>
      </c>
      <c r="AI44" s="74">
        <v>0.841313811</v>
      </c>
      <c r="AJ44" s="74">
        <v>8.008659576</v>
      </c>
      <c r="AK44" s="74">
        <v>7.941843748</v>
      </c>
      <c r="AL44" s="74">
        <v>71.927399774</v>
      </c>
      <c r="AM44" s="75" t="s">
        <v>90</v>
      </c>
    </row>
    <row r="45" spans="1:39" ht="13.5" customHeight="1" outlineLevel="1">
      <c r="A45" s="57" t="s">
        <v>404</v>
      </c>
      <c r="B45" s="58" t="s">
        <v>405</v>
      </c>
      <c r="C45" s="59" t="s">
        <v>406</v>
      </c>
      <c r="D45" s="60" t="s">
        <v>407</v>
      </c>
      <c r="E45" s="60">
        <v>450287</v>
      </c>
      <c r="F45" s="58" t="s">
        <v>373</v>
      </c>
      <c r="G45" s="61" t="s">
        <v>373</v>
      </c>
      <c r="H45" s="62">
        <v>116</v>
      </c>
      <c r="I45" s="63">
        <v>100.5835</v>
      </c>
      <c r="J45" s="60" t="s">
        <v>17</v>
      </c>
      <c r="K45" s="61" t="s">
        <v>76</v>
      </c>
      <c r="L45" s="64">
        <v>748000</v>
      </c>
      <c r="M45" s="62">
        <v>2377.21</v>
      </c>
      <c r="N45" s="65">
        <v>754741.79</v>
      </c>
      <c r="O45" s="65">
        <v>4.4</v>
      </c>
      <c r="P45" s="64">
        <v>4.367335503932238</v>
      </c>
      <c r="Q45" s="66">
        <f>IF(OR(ISERROR(L45*$C$20/$C$16),EXACT(MID(B45,1,4),"WPL:")),0,L45*$C$20/$C$16)</f>
        <v>4</v>
      </c>
      <c r="R45" s="67">
        <f>IF(OR(ISERROR(M45*$C$20/$C$16),EXACT(MID(B45,1,4),"WPL:")),0,M45*$C$20/$C$16)</f>
        <v>4</v>
      </c>
      <c r="S45" s="68">
        <f>IF(OR(ISERROR(N45*$C$20/$C$16),EXACT(MID(B45,1,4),"WPL:")),0,N45*$C$20/$C$16)</f>
        <v>4</v>
      </c>
      <c r="T45" s="62">
        <f>IF(OR(ISERROR(L45*$C$21/N56),EXACT(MID(B45,1,4),"WPL:")),0,L45*$C$21/N56)</f>
        <v>4</v>
      </c>
      <c r="U45" s="62">
        <f>IF(OR(ISERROR(M45*$C$21/N56),EXACT(MID(B45,1,4),"WPL:")),0,M45*$C$21/N56)</f>
        <v>4</v>
      </c>
      <c r="V45" s="69">
        <f>IF(OR(ISERROR(M45*$C$20),EXACT(MID(B45,1,4),"WPL:")),0,N45*$C$21/N56)</f>
        <v>4</v>
      </c>
      <c r="W45" s="70">
        <f>IF(OR(ISERROR(L45*$C$20/$C$16),MID(B45,1,4)&lt;&gt;"WPL:"),0,L45*$C$20/$C$16)</f>
        <v>4</v>
      </c>
      <c r="X45" s="65">
        <f>IF(OR(ISERROR(2377.21*$C$21/N56),MID(B45,1,4)&lt;&gt;"WPL:"),0,2377.21*$C$21/N56)</f>
        <v>4</v>
      </c>
      <c r="Y45" s="71">
        <f>IF(OR(ISERROR(754741.79*$C$20/$C$16),MID(B45,1,4)&lt;&gt;"WPL:"),0,754741.79*$C$20/$C$16)</f>
        <v>4</v>
      </c>
      <c r="Z45" s="72">
        <f>IF(OR(ISERROR(L45*$C$21/N56),MID(B45,1,4)&lt;&gt;"WPL:"),0,L45*$C$21/N56)</f>
        <v>4</v>
      </c>
      <c r="AA45" s="73">
        <f>IF(OR(ISERROR(2377.21*$C$21/N56),MID(B45,1,4)&lt;&gt;"WPL:"),0,2377.21*$C$21/N56)</f>
        <v>4</v>
      </c>
      <c r="AB45" s="71">
        <f>IF(OR(ISERROR(754741.79*$C$20),MID(B45,1,4)&lt;&gt;"WPL:"),0,754741.79*$C$21/N56)</f>
        <v>4</v>
      </c>
      <c r="AC45" s="69"/>
      <c r="AD45" s="74" t="s">
        <v>419</v>
      </c>
      <c r="AE45" s="74" t="s">
        <v>420</v>
      </c>
      <c r="AF45" s="74">
        <v>8.693150685</v>
      </c>
      <c r="AG45" s="74">
        <v>1</v>
      </c>
      <c r="AH45" s="74">
        <v>1</v>
      </c>
      <c r="AI45" s="74">
        <v>0.929699596</v>
      </c>
      <c r="AJ45" s="74">
        <v>8.34612505</v>
      </c>
      <c r="AK45" s="74">
        <v>8.269245904</v>
      </c>
      <c r="AL45" s="74">
        <v>78.397896897</v>
      </c>
      <c r="AM45" s="75" t="s">
        <v>90</v>
      </c>
    </row>
    <row r="46" spans="1:39" ht="13.5" customHeight="1" outlineLevel="1">
      <c r="A46" s="57" t="s">
        <v>421</v>
      </c>
      <c r="B46" s="58" t="s">
        <v>422</v>
      </c>
      <c r="C46" s="59" t="s">
        <v>423</v>
      </c>
      <c r="D46" s="60" t="s">
        <v>424</v>
      </c>
      <c r="E46" s="60">
        <v>450287</v>
      </c>
      <c r="F46" s="58" t="s">
        <v>373</v>
      </c>
      <c r="G46" s="61" t="s">
        <v>373</v>
      </c>
      <c r="H46" s="62">
        <v>300</v>
      </c>
      <c r="I46" s="63">
        <v>95.42133</v>
      </c>
      <c r="J46" s="60" t="s">
        <v>17</v>
      </c>
      <c r="K46" s="61" t="s">
        <v>76</v>
      </c>
      <c r="L46" s="64">
        <v>805000</v>
      </c>
      <c r="M46" s="62">
        <v>3308.22</v>
      </c>
      <c r="N46" s="65">
        <v>771449.93</v>
      </c>
      <c r="O46" s="65">
        <v>4.5</v>
      </c>
      <c r="P46" s="64">
        <v>4.46401764608137</v>
      </c>
      <c r="Q46" s="66">
        <f>IF(OR(ISERROR(L46*$C$20/$C$16),EXACT(MID(B46,1,4),"WPL:")),0,L46*$C$20/$C$16)</f>
        <v>4</v>
      </c>
      <c r="R46" s="67">
        <f>IF(OR(ISERROR(M46*$C$20/$C$16),EXACT(MID(B46,1,4),"WPL:")),0,M46*$C$20/$C$16)</f>
        <v>4</v>
      </c>
      <c r="S46" s="68">
        <f>IF(OR(ISERROR(N46*$C$20/$C$16),EXACT(MID(B46,1,4),"WPL:")),0,N46*$C$20/$C$16)</f>
        <v>4</v>
      </c>
      <c r="T46" s="62">
        <f>IF(OR(ISERROR(L46*$C$21/N56),EXACT(MID(B46,1,4),"WPL:")),0,L46*$C$21/N56)</f>
        <v>4</v>
      </c>
      <c r="U46" s="62">
        <f>IF(OR(ISERROR(M46*$C$21/N56),EXACT(MID(B46,1,4),"WPL:")),0,M46*$C$21/N56)</f>
        <v>4</v>
      </c>
      <c r="V46" s="69">
        <f>IF(OR(ISERROR(M46*$C$20),EXACT(MID(B46,1,4),"WPL:")),0,N46*$C$21/N56)</f>
        <v>4</v>
      </c>
      <c r="W46" s="70">
        <f>IF(OR(ISERROR(L46*$C$20/$C$16),MID(B46,1,4)&lt;&gt;"WPL:"),0,L46*$C$20/$C$16)</f>
        <v>4</v>
      </c>
      <c r="X46" s="65">
        <f>IF(OR(ISERROR(3308.22*$C$21/N56),MID(B46,1,4)&lt;&gt;"WPL:"),0,3308.22*$C$21/N56)</f>
        <v>4</v>
      </c>
      <c r="Y46" s="71">
        <f>IF(OR(ISERROR(771449.93*$C$20/$C$16),MID(B46,1,4)&lt;&gt;"WPL:"),0,771449.93*$C$20/$C$16)</f>
        <v>4</v>
      </c>
      <c r="Z46" s="72">
        <f>IF(OR(ISERROR(L46*$C$21/N56),MID(B46,1,4)&lt;&gt;"WPL:"),0,L46*$C$21/N56)</f>
        <v>4</v>
      </c>
      <c r="AA46" s="73">
        <f>IF(OR(ISERROR(3308.22*$C$21/N56),MID(B46,1,4)&lt;&gt;"WPL:"),0,3308.22*$C$21/N56)</f>
        <v>4</v>
      </c>
      <c r="AB46" s="71">
        <f>IF(OR(ISERROR(771449.93*$C$20),MID(B46,1,4)&lt;&gt;"WPL:"),0,771449.93*$C$21/N56)</f>
        <v>4</v>
      </c>
      <c r="AC46" s="69"/>
      <c r="AD46" s="74" t="s">
        <v>436</v>
      </c>
      <c r="AE46" s="74" t="s">
        <v>437</v>
      </c>
      <c r="AF46" s="74">
        <v>9.189041096</v>
      </c>
      <c r="AG46" s="74">
        <v>0.5</v>
      </c>
      <c r="AH46" s="74">
        <v>1</v>
      </c>
      <c r="AI46" s="74">
        <v>1.02460128</v>
      </c>
      <c r="AJ46" s="74">
        <v>8.960921446</v>
      </c>
      <c r="AK46" s="74">
        <v>8.870038914</v>
      </c>
      <c r="AL46" s="74">
        <v>88.833347527</v>
      </c>
      <c r="AM46" s="75" t="s">
        <v>90</v>
      </c>
    </row>
    <row r="47" spans="1:39" ht="13.5" customHeight="1" outlineLevel="1">
      <c r="A47" s="57" t="s">
        <v>438</v>
      </c>
      <c r="B47" s="58" t="s">
        <v>439</v>
      </c>
      <c r="C47" s="59" t="s">
        <v>440</v>
      </c>
      <c r="D47" s="60" t="s">
        <v>441</v>
      </c>
      <c r="E47" s="60">
        <v>464541</v>
      </c>
      <c r="F47" s="58" t="s">
        <v>442</v>
      </c>
      <c r="G47" s="61" t="s">
        <v>442</v>
      </c>
      <c r="H47" s="62">
        <v>310</v>
      </c>
      <c r="I47" s="63">
        <v>98.76175</v>
      </c>
      <c r="J47" s="60" t="s">
        <v>17</v>
      </c>
      <c r="K47" s="61" t="s">
        <v>76</v>
      </c>
      <c r="L47" s="64">
        <v>256000</v>
      </c>
      <c r="M47" s="62">
        <v>2174.25</v>
      </c>
      <c r="N47" s="65">
        <v>255004.33</v>
      </c>
      <c r="O47" s="65">
        <v>1.5</v>
      </c>
      <c r="P47" s="64">
        <v>1.4755900346600028</v>
      </c>
      <c r="Q47" s="66">
        <f>IF(OR(ISERROR(L47*$C$20/$C$16),EXACT(MID(B47,1,4),"WPL:")),0,L47*$C$20/$C$16)</f>
        <v>4</v>
      </c>
      <c r="R47" s="67">
        <f>IF(OR(ISERROR(M47*$C$20/$C$16),EXACT(MID(B47,1,4),"WPL:")),0,M47*$C$20/$C$16)</f>
        <v>4</v>
      </c>
      <c r="S47" s="68">
        <f>IF(OR(ISERROR(N47*$C$20/$C$16),EXACT(MID(B47,1,4),"WPL:")),0,N47*$C$20/$C$16)</f>
        <v>4</v>
      </c>
      <c r="T47" s="62">
        <f>IF(OR(ISERROR(L47*$C$21/N56),EXACT(MID(B47,1,4),"WPL:")),0,L47*$C$21/N56)</f>
        <v>4</v>
      </c>
      <c r="U47" s="62">
        <f>IF(OR(ISERROR(M47*$C$21/N56),EXACT(MID(B47,1,4),"WPL:")),0,M47*$C$21/N56)</f>
        <v>4</v>
      </c>
      <c r="V47" s="69">
        <f>IF(OR(ISERROR(M47*$C$20),EXACT(MID(B47,1,4),"WPL:")),0,N47*$C$21/N56)</f>
        <v>4</v>
      </c>
      <c r="W47" s="70">
        <f>IF(OR(ISERROR(L47*$C$20/$C$16),MID(B47,1,4)&lt;&gt;"WPL:"),0,L47*$C$20/$C$16)</f>
        <v>4</v>
      </c>
      <c r="X47" s="65">
        <f>IF(OR(ISERROR(2174.25*$C$21/N56),MID(B47,1,4)&lt;&gt;"WPL:"),0,2174.25*$C$21/N56)</f>
        <v>4</v>
      </c>
      <c r="Y47" s="71">
        <f>IF(OR(ISERROR(255004.33*$C$20/$C$16),MID(B47,1,4)&lt;&gt;"WPL:"),0,255004.33*$C$20/$C$16)</f>
        <v>4</v>
      </c>
      <c r="Z47" s="72">
        <f>IF(OR(ISERROR(L47*$C$21/N56),MID(B47,1,4)&lt;&gt;"WPL:"),0,L47*$C$21/N56)</f>
        <v>4</v>
      </c>
      <c r="AA47" s="73">
        <f>IF(OR(ISERROR(2174.25*$C$21/N56),MID(B47,1,4)&lt;&gt;"WPL:"),0,2174.25*$C$21/N56)</f>
        <v>4</v>
      </c>
      <c r="AB47" s="71">
        <f>IF(OR(ISERROR(255004.33*$C$20),MID(B47,1,4)&lt;&gt;"WPL:"),0,255004.33*$C$21/N56)</f>
        <v>4</v>
      </c>
      <c r="AC47" s="69"/>
      <c r="AD47" s="74" t="s">
        <v>454</v>
      </c>
      <c r="AE47" s="74" t="s">
        <v>455</v>
      </c>
      <c r="AF47" s="74">
        <v>9.161643836</v>
      </c>
      <c r="AG47" s="74">
        <v>1</v>
      </c>
      <c r="AH47" s="74">
        <v>1</v>
      </c>
      <c r="AI47" s="74">
        <v>1.143037349</v>
      </c>
      <c r="AJ47" s="74">
        <v>8.723992088</v>
      </c>
      <c r="AK47" s="74">
        <v>8.625400538</v>
      </c>
      <c r="AL47" s="74">
        <v>85.471321427</v>
      </c>
      <c r="AM47" s="75" t="s">
        <v>90</v>
      </c>
    </row>
    <row r="48" spans="1:39" ht="13.5" customHeight="1" outlineLevel="1">
      <c r="A48" s="57" t="s">
        <v>456</v>
      </c>
      <c r="B48" s="58" t="s">
        <v>457</v>
      </c>
      <c r="C48" s="59" t="s">
        <v>458</v>
      </c>
      <c r="D48" s="60" t="s">
        <v>459</v>
      </c>
      <c r="E48" s="60">
        <v>465688</v>
      </c>
      <c r="F48" s="58" t="s">
        <v>460</v>
      </c>
      <c r="G48" s="61" t="s">
        <v>461</v>
      </c>
      <c r="H48" s="62">
        <v>20</v>
      </c>
      <c r="I48" s="63">
        <v>111.69483</v>
      </c>
      <c r="J48" s="60" t="s">
        <v>17</v>
      </c>
      <c r="K48" s="61" t="s">
        <v>76</v>
      </c>
      <c r="L48" s="64">
        <v>748000</v>
      </c>
      <c r="M48" s="62">
        <v>1524.42</v>
      </c>
      <c r="N48" s="65">
        <v>837001.75</v>
      </c>
      <c r="O48" s="65">
        <v>4.8</v>
      </c>
      <c r="P48" s="64">
        <v>4.843335175104607</v>
      </c>
      <c r="Q48" s="66">
        <f>IF(OR(ISERROR(L48*$C$20/$C$16),EXACT(MID(B48,1,4),"WPL:")),0,L48*$C$20/$C$16)</f>
        <v>4</v>
      </c>
      <c r="R48" s="67">
        <f>IF(OR(ISERROR(M48*$C$20/$C$16),EXACT(MID(B48,1,4),"WPL:")),0,M48*$C$20/$C$16)</f>
        <v>4</v>
      </c>
      <c r="S48" s="68">
        <f>IF(OR(ISERROR(N48*$C$20/$C$16),EXACT(MID(B48,1,4),"WPL:")),0,N48*$C$20/$C$16)</f>
        <v>4</v>
      </c>
      <c r="T48" s="62">
        <f>IF(OR(ISERROR(L48*$C$21/N56),EXACT(MID(B48,1,4),"WPL:")),0,L48*$C$21/N56)</f>
        <v>4</v>
      </c>
      <c r="U48" s="62">
        <f>IF(OR(ISERROR(M48*$C$21/N56),EXACT(MID(B48,1,4),"WPL:")),0,M48*$C$21/N56)</f>
        <v>4</v>
      </c>
      <c r="V48" s="69">
        <f>IF(OR(ISERROR(M48*$C$20),EXACT(MID(B48,1,4),"WPL:")),0,N48*$C$21/N56)</f>
        <v>4</v>
      </c>
      <c r="W48" s="70">
        <f>IF(OR(ISERROR(L48*$C$20/$C$16),MID(B48,1,4)&lt;&gt;"WPL:"),0,L48*$C$20/$C$16)</f>
        <v>4</v>
      </c>
      <c r="X48" s="65">
        <f>IF(OR(ISERROR(1524.42*$C$21/N56),MID(B48,1,4)&lt;&gt;"WPL:"),0,1524.42*$C$21/N56)</f>
        <v>4</v>
      </c>
      <c r="Y48" s="71">
        <f>IF(OR(ISERROR(837001.75*$C$20/$C$16),MID(B48,1,4)&lt;&gt;"WPL:"),0,837001.75*$C$20/$C$16)</f>
        <v>4</v>
      </c>
      <c r="Z48" s="72">
        <f>IF(OR(ISERROR(L48*$C$21/N56),MID(B48,1,4)&lt;&gt;"WPL:"),0,L48*$C$21/N56)</f>
        <v>4</v>
      </c>
      <c r="AA48" s="73">
        <f>IF(OR(ISERROR(1524.42*$C$21/N56),MID(B48,1,4)&lt;&gt;"WPL:"),0,1524.42*$C$21/N56)</f>
        <v>4</v>
      </c>
      <c r="AB48" s="71">
        <f>IF(OR(ISERROR(837001.75*$C$20),MID(B48,1,4)&lt;&gt;"WPL:"),0,837001.75*$C$21/N56)</f>
        <v>4</v>
      </c>
      <c r="AC48" s="69"/>
      <c r="AD48" s="74" t="s">
        <v>473</v>
      </c>
      <c r="AE48" s="74" t="s">
        <v>474</v>
      </c>
      <c r="AF48" s="74">
        <v>7.456521739</v>
      </c>
      <c r="AG48" s="74">
        <v>3.75</v>
      </c>
      <c r="AH48" s="74">
        <v>2</v>
      </c>
      <c r="AI48" s="74">
        <v>2.061031002</v>
      </c>
      <c r="AJ48" s="74">
        <v>6.621857038</v>
      </c>
      <c r="AK48" s="74">
        <v>6.488134573</v>
      </c>
      <c r="AL48" s="74">
        <v>51.703867304</v>
      </c>
      <c r="AM48" s="75" t="s">
        <v>90</v>
      </c>
    </row>
    <row r="49" spans="1:39" ht="13.5" customHeight="1" outlineLevel="1">
      <c r="A49" s="57" t="s">
        <v>475</v>
      </c>
      <c r="B49" s="58" t="s">
        <v>476</v>
      </c>
      <c r="C49" s="59" t="s">
        <v>477</v>
      </c>
      <c r="D49" s="60" t="s">
        <v>478</v>
      </c>
      <c r="E49" s="60">
        <v>465688</v>
      </c>
      <c r="F49" s="58" t="s">
        <v>460</v>
      </c>
      <c r="G49" s="61" t="s">
        <v>461</v>
      </c>
      <c r="H49" s="62">
        <v>110</v>
      </c>
      <c r="I49" s="63">
        <v>102.88073</v>
      </c>
      <c r="J49" s="60" t="s">
        <v>17</v>
      </c>
      <c r="K49" s="61" t="s">
        <v>76</v>
      </c>
      <c r="L49" s="64">
        <v>769000</v>
      </c>
      <c r="M49" s="62">
        <v>5809.72</v>
      </c>
      <c r="N49" s="65">
        <v>796962.53</v>
      </c>
      <c r="O49" s="65">
        <v>4.6</v>
      </c>
      <c r="P49" s="64">
        <v>4.611647054249721</v>
      </c>
      <c r="Q49" s="66">
        <f>IF(OR(ISERROR(L49*$C$20/$C$16),EXACT(MID(B49,1,4),"WPL:")),0,L49*$C$20/$C$16)</f>
        <v>4</v>
      </c>
      <c r="R49" s="67">
        <f>IF(OR(ISERROR(M49*$C$20/$C$16),EXACT(MID(B49,1,4),"WPL:")),0,M49*$C$20/$C$16)</f>
        <v>4</v>
      </c>
      <c r="S49" s="68">
        <f>IF(OR(ISERROR(N49*$C$20/$C$16),EXACT(MID(B49,1,4),"WPL:")),0,N49*$C$20/$C$16)</f>
        <v>4</v>
      </c>
      <c r="T49" s="62">
        <f>IF(OR(ISERROR(L49*$C$21/N56),EXACT(MID(B49,1,4),"WPL:")),0,L49*$C$21/N56)</f>
        <v>4</v>
      </c>
      <c r="U49" s="62">
        <f>IF(OR(ISERROR(M49*$C$21/N56),EXACT(MID(B49,1,4),"WPL:")),0,M49*$C$21/N56)</f>
        <v>4</v>
      </c>
      <c r="V49" s="69">
        <f>IF(OR(ISERROR(M49*$C$20),EXACT(MID(B49,1,4),"WPL:")),0,N49*$C$21/N56)</f>
        <v>4</v>
      </c>
      <c r="W49" s="70">
        <f>IF(OR(ISERROR(L49*$C$20/$C$16),MID(B49,1,4)&lt;&gt;"WPL:"),0,L49*$C$20/$C$16)</f>
        <v>4</v>
      </c>
      <c r="X49" s="65">
        <f>IF(OR(ISERROR(5809.72*$C$21/N56),MID(B49,1,4)&lt;&gt;"WPL:"),0,5809.72*$C$21/N56)</f>
        <v>4</v>
      </c>
      <c r="Y49" s="71">
        <f>IF(OR(ISERROR(796962.53*$C$20/$C$16),MID(B49,1,4)&lt;&gt;"WPL:"),0,796962.53*$C$20/$C$16)</f>
        <v>4</v>
      </c>
      <c r="Z49" s="72">
        <f>IF(OR(ISERROR(L49*$C$21/N56),MID(B49,1,4)&lt;&gt;"WPL:"),0,L49*$C$21/N56)</f>
        <v>4</v>
      </c>
      <c r="AA49" s="73">
        <f>IF(OR(ISERROR(5809.72*$C$21/N56),MID(B49,1,4)&lt;&gt;"WPL:"),0,5809.72*$C$21/N56)</f>
        <v>4</v>
      </c>
      <c r="AB49" s="71">
        <f>IF(OR(ISERROR(796962.53*$C$20),MID(B49,1,4)&lt;&gt;"WPL:"),0,796962.53*$C$21/N56)</f>
        <v>4</v>
      </c>
      <c r="AC49" s="69"/>
      <c r="AD49" s="74" t="s">
        <v>490</v>
      </c>
      <c r="AE49" s="74" t="s">
        <v>491</v>
      </c>
      <c r="AF49" s="74">
        <v>7.708791209</v>
      </c>
      <c r="AG49" s="74">
        <v>2.5</v>
      </c>
      <c r="AH49" s="74">
        <v>2</v>
      </c>
      <c r="AI49" s="74">
        <v>2.104128155</v>
      </c>
      <c r="AJ49" s="74">
        <v>7.021747131</v>
      </c>
      <c r="AK49" s="74">
        <v>6.877045285</v>
      </c>
      <c r="AL49" s="74">
        <v>57.026100912</v>
      </c>
      <c r="AM49" s="75" t="s">
        <v>90</v>
      </c>
    </row>
    <row r="50" spans="1:39" ht="13.5" customHeight="1" outlineLevel="1">
      <c r="A50" s="57" t="s">
        <v>492</v>
      </c>
      <c r="B50" s="58" t="s">
        <v>493</v>
      </c>
      <c r="C50" s="59" t="s">
        <v>494</v>
      </c>
      <c r="D50" s="60" t="s">
        <v>495</v>
      </c>
      <c r="E50" s="60">
        <v>465688</v>
      </c>
      <c r="F50" s="58" t="s">
        <v>460</v>
      </c>
      <c r="G50" s="61" t="s">
        <v>461</v>
      </c>
      <c r="H50" s="62">
        <v>110</v>
      </c>
      <c r="I50" s="63">
        <v>95.19956</v>
      </c>
      <c r="J50" s="60" t="s">
        <v>17</v>
      </c>
      <c r="K50" s="61" t="s">
        <v>76</v>
      </c>
      <c r="L50" s="64">
        <v>746000</v>
      </c>
      <c r="M50" s="62">
        <v>3381.62</v>
      </c>
      <c r="N50" s="65">
        <v>713570.34</v>
      </c>
      <c r="O50" s="65">
        <v>4.1</v>
      </c>
      <c r="P50" s="64">
        <v>4.129095700974764</v>
      </c>
      <c r="Q50" s="66">
        <f>IF(OR(ISERROR(L50*$C$20/$C$16),EXACT(MID(B50,1,4),"WPL:")),0,L50*$C$20/$C$16)</f>
        <v>4</v>
      </c>
      <c r="R50" s="67">
        <f>IF(OR(ISERROR(M50*$C$20/$C$16),EXACT(MID(B50,1,4),"WPL:")),0,M50*$C$20/$C$16)</f>
        <v>4</v>
      </c>
      <c r="S50" s="68">
        <f>IF(OR(ISERROR(N50*$C$20/$C$16),EXACT(MID(B50,1,4),"WPL:")),0,N50*$C$20/$C$16)</f>
        <v>4</v>
      </c>
      <c r="T50" s="62">
        <f>IF(OR(ISERROR(L50*$C$21/N56),EXACT(MID(B50,1,4),"WPL:")),0,L50*$C$21/N56)</f>
        <v>4</v>
      </c>
      <c r="U50" s="62">
        <f>IF(OR(ISERROR(M50*$C$21/N56),EXACT(MID(B50,1,4),"WPL:")),0,M50*$C$21/N56)</f>
        <v>4</v>
      </c>
      <c r="V50" s="69">
        <f>IF(OR(ISERROR(M50*$C$20),EXACT(MID(B50,1,4),"WPL:")),0,N50*$C$21/N56)</f>
        <v>4</v>
      </c>
      <c r="W50" s="70">
        <f>IF(OR(ISERROR(L50*$C$20/$C$16),MID(B50,1,4)&lt;&gt;"WPL:"),0,L50*$C$20/$C$16)</f>
        <v>4</v>
      </c>
      <c r="X50" s="65">
        <f>IF(OR(ISERROR(3381.62*$C$21/N56),MID(B50,1,4)&lt;&gt;"WPL:"),0,3381.62*$C$21/N56)</f>
        <v>4</v>
      </c>
      <c r="Y50" s="71">
        <f>IF(OR(ISERROR(713570.34*$C$20/$C$16),MID(B50,1,4)&lt;&gt;"WPL:"),0,713570.34*$C$20/$C$16)</f>
        <v>4</v>
      </c>
      <c r="Z50" s="72">
        <f>IF(OR(ISERROR(L50*$C$21/N56),MID(B50,1,4)&lt;&gt;"WPL:"),0,L50*$C$21/N56)</f>
        <v>4</v>
      </c>
      <c r="AA50" s="73">
        <f>IF(OR(ISERROR(3381.62*$C$21/N56),MID(B50,1,4)&lt;&gt;"WPL:"),0,3381.62*$C$21/N56)</f>
        <v>4</v>
      </c>
      <c r="AB50" s="71">
        <f>IF(OR(ISERROR(713570.34*$C$20),MID(B50,1,4)&lt;&gt;"WPL:"),0,713570.34*$C$21/N56)</f>
        <v>4</v>
      </c>
      <c r="AC50" s="69"/>
      <c r="AD50" s="74" t="s">
        <v>507</v>
      </c>
      <c r="AE50" s="74" t="s">
        <v>508</v>
      </c>
      <c r="AF50" s="74">
        <v>8.208791209</v>
      </c>
      <c r="AG50" s="74">
        <v>1.5</v>
      </c>
      <c r="AH50" s="74">
        <v>2</v>
      </c>
      <c r="AI50" s="74">
        <v>2.152119734</v>
      </c>
      <c r="AJ50" s="74">
        <v>7.704984288</v>
      </c>
      <c r="AK50" s="74">
        <v>7.542657273</v>
      </c>
      <c r="AL50" s="74">
        <v>66.725695613</v>
      </c>
      <c r="AM50" s="75" t="s">
        <v>90</v>
      </c>
    </row>
    <row r="51" spans="1:39" ht="13.5" customHeight="1" outlineLevel="1">
      <c r="A51" s="57" t="s">
        <v>509</v>
      </c>
      <c r="B51" s="58" t="s">
        <v>510</v>
      </c>
      <c r="C51" s="59" t="s">
        <v>511</v>
      </c>
      <c r="D51" s="60" t="s">
        <v>512</v>
      </c>
      <c r="E51" s="60">
        <v>465688</v>
      </c>
      <c r="F51" s="58" t="s">
        <v>460</v>
      </c>
      <c r="G51" s="61" t="s">
        <v>461</v>
      </c>
      <c r="H51" s="62">
        <v>110</v>
      </c>
      <c r="I51" s="63">
        <v>90.5314</v>
      </c>
      <c r="J51" s="60" t="s">
        <v>17</v>
      </c>
      <c r="K51" s="61" t="s">
        <v>76</v>
      </c>
      <c r="L51" s="64">
        <v>680000</v>
      </c>
      <c r="M51" s="62">
        <v>2568.7</v>
      </c>
      <c r="N51" s="65">
        <v>618182.22</v>
      </c>
      <c r="O51" s="65">
        <v>3.6</v>
      </c>
      <c r="P51" s="64">
        <v>3.577129546921802</v>
      </c>
      <c r="Q51" s="66">
        <f>IF(OR(ISERROR(L51*$C$20/$C$16),EXACT(MID(B51,1,4),"WPL:")),0,L51*$C$20/$C$16)</f>
        <v>4</v>
      </c>
      <c r="R51" s="67">
        <f>IF(OR(ISERROR(M51*$C$20/$C$16),EXACT(MID(B51,1,4),"WPL:")),0,M51*$C$20/$C$16)</f>
        <v>4</v>
      </c>
      <c r="S51" s="68">
        <f>IF(OR(ISERROR(N51*$C$20/$C$16),EXACT(MID(B51,1,4),"WPL:")),0,N51*$C$20/$C$16)</f>
        <v>4</v>
      </c>
      <c r="T51" s="62">
        <f>IF(OR(ISERROR(L51*$C$21/N56),EXACT(MID(B51,1,4),"WPL:")),0,L51*$C$21/N56)</f>
        <v>4</v>
      </c>
      <c r="U51" s="62">
        <f>IF(OR(ISERROR(M51*$C$21/N56),EXACT(MID(B51,1,4),"WPL:")),0,M51*$C$21/N56)</f>
        <v>4</v>
      </c>
      <c r="V51" s="69">
        <f>IF(OR(ISERROR(M51*$C$20),EXACT(MID(B51,1,4),"WPL:")),0,N51*$C$21/N56)</f>
        <v>4</v>
      </c>
      <c r="W51" s="70">
        <f>IF(OR(ISERROR(L51*$C$20/$C$16),MID(B51,1,4)&lt;&gt;"WPL:"),0,L51*$C$20/$C$16)</f>
        <v>4</v>
      </c>
      <c r="X51" s="65">
        <f>IF(OR(ISERROR(2568.7*$C$21/N56),MID(B51,1,4)&lt;&gt;"WPL:"),0,2568.7*$C$21/N56)</f>
        <v>4</v>
      </c>
      <c r="Y51" s="71">
        <f>IF(OR(ISERROR(618182.22*$C$20/$C$16),MID(B51,1,4)&lt;&gt;"WPL:"),0,618182.22*$C$20/$C$16)</f>
        <v>4</v>
      </c>
      <c r="Z51" s="72">
        <f>IF(OR(ISERROR(L51*$C$21/N56),MID(B51,1,4)&lt;&gt;"WPL:"),0,L51*$C$21/N56)</f>
        <v>4</v>
      </c>
      <c r="AA51" s="73">
        <f>IF(OR(ISERROR(2568.7*$C$21/N56),MID(B51,1,4)&lt;&gt;"WPL:"),0,2568.7*$C$21/N56)</f>
        <v>4</v>
      </c>
      <c r="AB51" s="71">
        <f>IF(OR(ISERROR(618182.22*$C$20),MID(B51,1,4)&lt;&gt;"WPL:"),0,618182.22*$C$21/N56)</f>
        <v>4</v>
      </c>
      <c r="AC51" s="69"/>
      <c r="AD51" s="74" t="s">
        <v>524</v>
      </c>
      <c r="AE51" s="74" t="s">
        <v>525</v>
      </c>
      <c r="AF51" s="74">
        <v>9.708791209</v>
      </c>
      <c r="AG51" s="74">
        <v>1.25</v>
      </c>
      <c r="AH51" s="74">
        <v>2</v>
      </c>
      <c r="AI51" s="74">
        <v>2.359889014</v>
      </c>
      <c r="AJ51" s="74">
        <v>9.101815797</v>
      </c>
      <c r="AK51" s="74">
        <v>8.891975054</v>
      </c>
      <c r="AL51" s="74">
        <v>91.237928633</v>
      </c>
      <c r="AM51" s="75" t="s">
        <v>90</v>
      </c>
    </row>
    <row r="52" spans="1:39" ht="13.5" customHeight="1" outlineLevel="1">
      <c r="A52" s="57" t="s">
        <v>526</v>
      </c>
      <c r="B52" s="58" t="s">
        <v>527</v>
      </c>
      <c r="C52" s="59" t="s">
        <v>528</v>
      </c>
      <c r="D52" s="60" t="s">
        <v>529</v>
      </c>
      <c r="E52" s="60">
        <v>456326</v>
      </c>
      <c r="F52" s="58" t="s">
        <v>530</v>
      </c>
      <c r="G52" s="61" t="s">
        <v>530</v>
      </c>
      <c r="H52" s="62">
        <v>249</v>
      </c>
      <c r="I52" s="63">
        <v>98.82583</v>
      </c>
      <c r="J52" s="60" t="s">
        <v>17</v>
      </c>
      <c r="K52" s="61" t="s">
        <v>76</v>
      </c>
      <c r="L52" s="64">
        <v>574000</v>
      </c>
      <c r="M52" s="62">
        <v>978.95</v>
      </c>
      <c r="N52" s="65">
        <v>568239.21</v>
      </c>
      <c r="O52" s="65">
        <v>3.3</v>
      </c>
      <c r="P52" s="64">
        <v>3.288132854760045</v>
      </c>
      <c r="Q52" s="66">
        <f>IF(OR(ISERROR(L52*$C$20/$C$16),EXACT(MID(B52,1,4),"WPL:")),0,L52*$C$20/$C$16)</f>
        <v>4</v>
      </c>
      <c r="R52" s="67">
        <f>IF(OR(ISERROR(M52*$C$20/$C$16),EXACT(MID(B52,1,4),"WPL:")),0,M52*$C$20/$C$16)</f>
        <v>4</v>
      </c>
      <c r="S52" s="68">
        <f>IF(OR(ISERROR(N52*$C$20/$C$16),EXACT(MID(B52,1,4),"WPL:")),0,N52*$C$20/$C$16)</f>
        <v>4</v>
      </c>
      <c r="T52" s="62">
        <f>IF(OR(ISERROR(L52*$C$21/N56),EXACT(MID(B52,1,4),"WPL:")),0,L52*$C$21/N56)</f>
        <v>4</v>
      </c>
      <c r="U52" s="62">
        <f>IF(OR(ISERROR(M52*$C$21/N56),EXACT(MID(B52,1,4),"WPL:")),0,M52*$C$21/N56)</f>
        <v>4</v>
      </c>
      <c r="V52" s="69">
        <f>IF(OR(ISERROR(M52*$C$20),EXACT(MID(B52,1,4),"WPL:")),0,N52*$C$21/N56)</f>
        <v>4</v>
      </c>
      <c r="W52" s="70">
        <f>IF(OR(ISERROR(L52*$C$20/$C$16),MID(B52,1,4)&lt;&gt;"WPL:"),0,L52*$C$20/$C$16)</f>
        <v>4</v>
      </c>
      <c r="X52" s="65">
        <f>IF(OR(ISERROR(978.95*$C$21/N56),MID(B52,1,4)&lt;&gt;"WPL:"),0,978.95*$C$21/N56)</f>
        <v>4</v>
      </c>
      <c r="Y52" s="71">
        <f>IF(OR(ISERROR(568239.21*$C$20/$C$16),MID(B52,1,4)&lt;&gt;"WPL:"),0,568239.21*$C$20/$C$16)</f>
        <v>4</v>
      </c>
      <c r="Z52" s="72">
        <f>IF(OR(ISERROR(L52*$C$21/N56),MID(B52,1,4)&lt;&gt;"WPL:"),0,L52*$C$21/N56)</f>
        <v>4</v>
      </c>
      <c r="AA52" s="73">
        <f>IF(OR(ISERROR(978.95*$C$21/N56),MID(B52,1,4)&lt;&gt;"WPL:"),0,978.95*$C$21/N56)</f>
        <v>4</v>
      </c>
      <c r="AB52" s="71">
        <f>IF(OR(ISERROR(568239.21*$C$20),MID(B52,1,4)&lt;&gt;"WPL:"),0,568239.21*$C$21/N56)</f>
        <v>4</v>
      </c>
      <c r="AC52" s="69"/>
      <c r="AD52" s="74" t="s">
        <v>542</v>
      </c>
      <c r="AE52" s="74" t="s">
        <v>543</v>
      </c>
      <c r="AF52" s="74">
        <v>8.328767123</v>
      </c>
      <c r="AG52" s="74">
        <v>0.25</v>
      </c>
      <c r="AH52" s="74">
        <v>1</v>
      </c>
      <c r="AI52" s="74">
        <v>0.393564791</v>
      </c>
      <c r="AJ52" s="74">
        <v>8.238795196</v>
      </c>
      <c r="AK52" s="74">
        <v>8.206497312</v>
      </c>
      <c r="AL52" s="74">
        <v>76.020104502</v>
      </c>
      <c r="AM52" s="75" t="s">
        <v>90</v>
      </c>
    </row>
    <row r="53" spans="1:39" ht="13.5" customHeight="1" outlineLevel="1">
      <c r="A53" s="57" t="s">
        <v>544</v>
      </c>
      <c r="B53" s="58" t="s">
        <v>545</v>
      </c>
      <c r="C53" s="59" t="s">
        <v>546</v>
      </c>
      <c r="D53" s="60" t="s">
        <v>547</v>
      </c>
      <c r="E53" s="60">
        <v>456326</v>
      </c>
      <c r="F53" s="58" t="s">
        <v>530</v>
      </c>
      <c r="G53" s="61" t="s">
        <v>530</v>
      </c>
      <c r="H53" s="62">
        <v>249</v>
      </c>
      <c r="I53" s="63">
        <v>99.781</v>
      </c>
      <c r="J53" s="60" t="s">
        <v>17</v>
      </c>
      <c r="K53" s="61" t="s">
        <v>76</v>
      </c>
      <c r="L53" s="64">
        <v>570000</v>
      </c>
      <c r="M53" s="62">
        <v>1944.25</v>
      </c>
      <c r="N53" s="65">
        <v>570695.95</v>
      </c>
      <c r="O53" s="65">
        <v>3.3</v>
      </c>
      <c r="P53" s="64">
        <v>3.3023488528246685</v>
      </c>
      <c r="Q53" s="66">
        <f>IF(OR(ISERROR(L53*$C$20/$C$16),EXACT(MID(B53,1,4),"WPL:")),0,L53*$C$20/$C$16)</f>
        <v>4</v>
      </c>
      <c r="R53" s="67">
        <f>IF(OR(ISERROR(M53*$C$20/$C$16),EXACT(MID(B53,1,4),"WPL:")),0,M53*$C$20/$C$16)</f>
        <v>4</v>
      </c>
      <c r="S53" s="68">
        <f>IF(OR(ISERROR(N53*$C$20/$C$16),EXACT(MID(B53,1,4),"WPL:")),0,N53*$C$20/$C$16)</f>
        <v>4</v>
      </c>
      <c r="T53" s="62">
        <f>IF(OR(ISERROR(L53*$C$21/N56),EXACT(MID(B53,1,4),"WPL:")),0,L53*$C$21/N56)</f>
        <v>4</v>
      </c>
      <c r="U53" s="62">
        <f>IF(OR(ISERROR(M53*$C$21/N56),EXACT(MID(B53,1,4),"WPL:")),0,M53*$C$21/N56)</f>
        <v>4</v>
      </c>
      <c r="V53" s="69">
        <f>IF(OR(ISERROR(M53*$C$20),EXACT(MID(B53,1,4),"WPL:")),0,N53*$C$21/N56)</f>
        <v>4</v>
      </c>
      <c r="W53" s="70">
        <f>IF(OR(ISERROR(L53*$C$20/$C$16),MID(B53,1,4)&lt;&gt;"WPL:"),0,L53*$C$20/$C$16)</f>
        <v>4</v>
      </c>
      <c r="X53" s="65">
        <f>IF(OR(ISERROR(1944.25*$C$21/N56),MID(B53,1,4)&lt;&gt;"WPL:"),0,1944.25*$C$21/N56)</f>
        <v>4</v>
      </c>
      <c r="Y53" s="71">
        <f>IF(OR(ISERROR(570695.95*$C$20/$C$16),MID(B53,1,4)&lt;&gt;"WPL:"),0,570695.95*$C$20/$C$16)</f>
        <v>4</v>
      </c>
      <c r="Z53" s="72">
        <f>IF(OR(ISERROR(L53*$C$21/N56),MID(B53,1,4)&lt;&gt;"WPL:"),0,L53*$C$21/N56)</f>
        <v>4</v>
      </c>
      <c r="AA53" s="73">
        <f>IF(OR(ISERROR(1944.25*$C$21/N56),MID(B53,1,4)&lt;&gt;"WPL:"),0,1944.25*$C$21/N56)</f>
        <v>4</v>
      </c>
      <c r="AB53" s="71">
        <f>IF(OR(ISERROR(570695.95*$C$20),MID(B53,1,4)&lt;&gt;"WPL:"),0,570695.95*$C$21/N56)</f>
        <v>4</v>
      </c>
      <c r="AC53" s="69"/>
      <c r="AD53" s="74" t="s">
        <v>559</v>
      </c>
      <c r="AE53" s="74" t="s">
        <v>560</v>
      </c>
      <c r="AF53" s="74">
        <v>9.328767123</v>
      </c>
      <c r="AG53" s="74">
        <v>0.5</v>
      </c>
      <c r="AH53" s="74">
        <v>1</v>
      </c>
      <c r="AI53" s="74">
        <v>0.524084004</v>
      </c>
      <c r="AJ53" s="74">
        <v>9.10750591</v>
      </c>
      <c r="AK53" s="74">
        <v>9.060023775</v>
      </c>
      <c r="AL53" s="74">
        <v>92.440697006</v>
      </c>
      <c r="AM53" s="75" t="s">
        <v>90</v>
      </c>
    </row>
    <row r="54" spans="1:39" ht="13.5" customHeight="1" outlineLevel="1">
      <c r="A54" s="1"/>
      <c r="B54" s="2" t="s">
        <v>561</v>
      </c>
      <c r="C54" s="3"/>
      <c r="D54" s="3"/>
      <c r="E54" s="3"/>
      <c r="F54" s="3"/>
      <c r="G54" s="4"/>
      <c r="H54" s="4"/>
      <c r="I54" s="4"/>
      <c r="J54" s="3"/>
      <c r="K54" s="4"/>
      <c r="L54" s="4"/>
      <c r="M54" s="4"/>
      <c r="N54" s="77">
        <v>159533.17</v>
      </c>
      <c r="O54" s="77">
        <v>0.9</v>
      </c>
      <c r="P54" s="78">
        <v>0.9231433672115298</v>
      </c>
      <c r="Q54" s="79"/>
      <c r="R54" s="80"/>
      <c r="S54" s="81"/>
      <c r="T54" s="4"/>
      <c r="U54" s="4"/>
      <c r="V54" s="82"/>
      <c r="W54" s="3"/>
      <c r="X54" s="3"/>
      <c r="Y54" s="82"/>
      <c r="Z54" s="83"/>
      <c r="AA54" s="83"/>
      <c r="AB54" s="82"/>
      <c r="AC54" s="82"/>
      <c r="AD54" s="3"/>
      <c r="AE54" s="3"/>
      <c r="AF54" s="3"/>
      <c r="AG54" s="3"/>
      <c r="AH54" s="3"/>
      <c r="AI54" s="3"/>
      <c r="AJ54" s="3"/>
      <c r="AK54" s="3"/>
      <c r="AL54" s="3"/>
      <c r="AM54" s="82"/>
    </row>
    <row r="55" spans="1:39" ht="13.5" customHeight="1" outlineLevel="1">
      <c r="A55" s="1"/>
      <c r="B55" s="2" t="s">
        <v>562</v>
      </c>
      <c r="C55" s="3"/>
      <c r="D55" s="3"/>
      <c r="E55" s="3"/>
      <c r="F55" s="3"/>
      <c r="G55" s="4"/>
      <c r="H55" s="4"/>
      <c r="I55" s="4"/>
      <c r="J55" s="3"/>
      <c r="K55" s="4"/>
      <c r="L55" s="4"/>
      <c r="M55" s="4"/>
      <c r="N55" s="77">
        <v>-1393.7499999937427</v>
      </c>
      <c r="O55" s="77">
        <v>0</v>
      </c>
      <c r="P55" s="78">
        <v>-0.008064975252765887</v>
      </c>
      <c r="Q55" s="79"/>
      <c r="R55" s="80"/>
      <c r="S55" s="81"/>
      <c r="T55" s="4"/>
      <c r="U55" s="4"/>
      <c r="V55" s="82"/>
      <c r="W55" s="3"/>
      <c r="X55" s="3"/>
      <c r="Y55" s="82"/>
      <c r="Z55" s="83"/>
      <c r="AA55" s="83"/>
      <c r="AB55" s="82"/>
      <c r="AC55" s="82"/>
      <c r="AD55" s="3"/>
      <c r="AE55" s="3"/>
      <c r="AF55" s="3"/>
      <c r="AG55" s="3"/>
      <c r="AH55" s="3"/>
      <c r="AI55" s="3"/>
      <c r="AJ55" s="3"/>
      <c r="AK55" s="3"/>
      <c r="AL55" s="3"/>
      <c r="AM55" s="82"/>
    </row>
    <row r="56" spans="1:39" ht="13.5" customHeight="1" outlineLevel="1">
      <c r="A56" s="84"/>
      <c r="B56" s="85" t="s">
        <v>563</v>
      </c>
      <c r="C56" s="86"/>
      <c r="D56" s="86"/>
      <c r="E56" s="86"/>
      <c r="F56" s="86"/>
      <c r="G56" s="87"/>
      <c r="H56" s="87"/>
      <c r="I56" s="87"/>
      <c r="J56" s="86"/>
      <c r="K56" s="87"/>
      <c r="L56" s="87">
        <f>SUM(L25:L55)</f>
        <v>4</v>
      </c>
      <c r="M56" s="87">
        <f>SUM(M25:M55)</f>
        <v>4</v>
      </c>
      <c r="N56" s="86">
        <f>SUM(N25:N55)</f>
        <v>4</v>
      </c>
      <c r="O56" s="86">
        <f>SUM(O25:O55)</f>
        <v>4</v>
      </c>
      <c r="P56" s="87">
        <f>SUM(P25:P55)</f>
        <v>4</v>
      </c>
      <c r="Q56" s="88">
        <f>SUM(Q25:Q55)</f>
        <v>4</v>
      </c>
      <c r="R56" s="87">
        <f>SUM(R25:R55)</f>
        <v>4</v>
      </c>
      <c r="S56" s="89">
        <f>SUM(S25:S55)</f>
        <v>4</v>
      </c>
      <c r="T56" s="87"/>
      <c r="U56" s="87"/>
      <c r="V56" s="90"/>
      <c r="W56" s="91"/>
      <c r="X56" s="91"/>
      <c r="Y56" s="90"/>
      <c r="Z56" s="86"/>
      <c r="AA56" s="86"/>
      <c r="AB56" s="90"/>
      <c r="AC56" s="90"/>
      <c r="AD56" s="84"/>
      <c r="AE56" s="84"/>
      <c r="AF56" s="84">
        <v>8.423741786844143</v>
      </c>
      <c r="AG56" s="84">
        <v>1.2961223570867726</v>
      </c>
      <c r="AH56" s="84"/>
      <c r="AI56" s="84">
        <v>1.024381060578389</v>
      </c>
      <c r="AJ56" s="84">
        <v>8.015564611091413</v>
      </c>
      <c r="AK56" s="84">
        <v>8.044040514512789</v>
      </c>
      <c r="AL56" s="84">
        <v>74.08790124165701</v>
      </c>
      <c r="AM56" s="90"/>
    </row>
    <row r="57" spans="1:39" ht="13.5" customHeight="1" outlineLevel="1">
      <c r="A57" s="1"/>
      <c r="B57" s="2" t="s">
        <v>0</v>
      </c>
      <c r="C57" s="3"/>
      <c r="D57" s="3"/>
      <c r="E57" s="3"/>
      <c r="F57" s="3"/>
      <c r="G57" s="4"/>
      <c r="H57" s="4"/>
      <c r="I57" s="4"/>
      <c r="J57" s="3"/>
      <c r="K57" s="4"/>
      <c r="L57" s="4"/>
      <c r="M57" s="4"/>
      <c r="N57" s="3"/>
      <c r="O57" s="3"/>
      <c r="P57" s="4"/>
      <c r="Q57" s="80"/>
      <c r="R57" s="80"/>
      <c r="S57" s="92"/>
      <c r="T57" s="4"/>
      <c r="U57" s="4"/>
      <c r="V57" s="83"/>
      <c r="W57" s="83"/>
      <c r="X57" s="83"/>
      <c r="Y57" s="83"/>
      <c r="Z57" s="83"/>
      <c r="AA57" s="83"/>
      <c r="AB57" s="83"/>
      <c r="AC57" s="83"/>
      <c r="AD57" s="83"/>
      <c r="AE57" s="83"/>
      <c r="AF57" s="83"/>
      <c r="AG57" s="83"/>
      <c r="AH57" s="83"/>
      <c r="AI57" s="83"/>
      <c r="AJ57" s="83"/>
      <c r="AK57" s="83"/>
      <c r="AL57" s="83"/>
      <c r="AM57" s="83"/>
    </row>
    <row r="58" spans="1:39" ht="13.5" customHeight="1" outlineLevel="1">
      <c r="A58" s="1"/>
      <c r="B58" s="2" t="s">
        <v>0</v>
      </c>
      <c r="C58" s="3"/>
      <c r="D58" s="3"/>
      <c r="E58" s="3"/>
      <c r="F58" s="3"/>
      <c r="G58" s="4"/>
      <c r="H58" s="4"/>
      <c r="I58" s="4"/>
      <c r="J58" s="3"/>
      <c r="K58" s="4"/>
      <c r="L58" s="4"/>
      <c r="M58" s="4"/>
      <c r="N58" s="3"/>
      <c r="O58" s="3"/>
      <c r="P58" s="4"/>
      <c r="Q58" s="80"/>
      <c r="R58" s="80"/>
      <c r="S58" s="92"/>
      <c r="T58" s="4"/>
      <c r="U58" s="4"/>
      <c r="V58" s="83"/>
      <c r="W58" s="83"/>
      <c r="X58" s="83"/>
      <c r="Y58" s="83"/>
      <c r="Z58" s="83"/>
      <c r="AA58" s="83"/>
      <c r="AB58" s="83"/>
      <c r="AC58" s="83"/>
      <c r="AD58" s="83"/>
      <c r="AE58" s="83"/>
      <c r="AF58" s="83"/>
      <c r="AG58" s="83"/>
      <c r="AH58" s="83"/>
      <c r="AI58" s="83"/>
      <c r="AJ58" s="83"/>
      <c r="AK58" s="83"/>
      <c r="AL58" s="83"/>
      <c r="AM58" s="83"/>
    </row>
    <row r="59" spans="1:39" ht="13.5" customHeight="1" outlineLevel="1">
      <c r="A59" s="93"/>
      <c r="B59" s="94" t="s">
        <v>572</v>
      </c>
      <c r="C59" s="94"/>
      <c r="D59" s="94"/>
      <c r="E59" s="94"/>
      <c r="F59" s="94"/>
      <c r="G59" s="95"/>
      <c r="H59" s="95"/>
      <c r="I59" s="95"/>
      <c r="J59" s="94"/>
      <c r="K59" s="95"/>
      <c r="L59" s="95"/>
      <c r="M59" s="95"/>
      <c r="N59" s="94"/>
      <c r="O59" s="94"/>
      <c r="P59" s="95"/>
      <c r="Q59" s="96"/>
      <c r="R59" s="96"/>
      <c r="S59" s="97"/>
      <c r="T59" s="95"/>
      <c r="U59" s="95"/>
      <c r="V59" s="98"/>
      <c r="W59" s="98"/>
      <c r="X59" s="98"/>
      <c r="Y59" s="98"/>
      <c r="Z59" s="98"/>
      <c r="AA59" s="98"/>
      <c r="AB59" s="98"/>
      <c r="AC59" s="98"/>
      <c r="AD59" s="98"/>
      <c r="AE59" s="98"/>
      <c r="AF59" s="98"/>
      <c r="AG59" s="98"/>
      <c r="AH59" s="98"/>
      <c r="AI59" s="98"/>
      <c r="AJ59" s="98"/>
      <c r="AK59" s="98"/>
      <c r="AL59" s="98"/>
      <c r="AM59" s="98"/>
    </row>
    <row r="60" spans="1:39" ht="13.5" customHeight="1" outlineLevel="1">
      <c r="A60" s="1"/>
      <c r="B60" s="2" t="s">
        <v>0</v>
      </c>
      <c r="C60" s="3"/>
      <c r="D60" s="3"/>
      <c r="E60" s="3"/>
      <c r="F60" s="3"/>
      <c r="G60" s="4"/>
      <c r="H60" s="4"/>
      <c r="I60" s="4"/>
      <c r="J60" s="3"/>
      <c r="K60" s="4"/>
      <c r="L60" s="4"/>
      <c r="M60" s="4"/>
      <c r="N60" s="3"/>
      <c r="O60" s="3"/>
      <c r="P60" s="4"/>
      <c r="Q60" s="80"/>
      <c r="R60" s="80"/>
      <c r="S60" s="92"/>
      <c r="T60" s="4"/>
      <c r="U60" s="4"/>
      <c r="V60" s="83"/>
      <c r="W60" s="83"/>
      <c r="X60" s="83"/>
      <c r="Y60" s="83"/>
      <c r="Z60" s="83"/>
      <c r="AA60" s="83"/>
      <c r="AB60" s="83"/>
      <c r="AC60" s="83"/>
      <c r="AD60" s="83"/>
      <c r="AE60" s="83"/>
      <c r="AF60" s="83"/>
      <c r="AG60" s="83"/>
      <c r="AH60" s="83"/>
      <c r="AI60" s="83"/>
      <c r="AJ60" s="83"/>
      <c r="AK60" s="83"/>
      <c r="AL60" s="83"/>
      <c r="AM60" s="83"/>
    </row>
    <row r="61" spans="1:39" ht="44.25" customHeight="1" outlineLevel="1">
      <c r="A61" s="99"/>
      <c r="B61" s="31" t="s">
        <v>29</v>
      </c>
      <c r="C61" s="31" t="s">
        <v>30</v>
      </c>
      <c r="D61" s="100"/>
      <c r="E61" s="100"/>
      <c r="F61" s="100"/>
      <c r="G61" s="100"/>
      <c r="H61" s="100"/>
      <c r="I61" s="101"/>
      <c r="J61" s="101"/>
      <c r="K61" s="101"/>
      <c r="L61" s="101" t="s">
        <v>36</v>
      </c>
      <c r="M61" s="101" t="s">
        <v>37</v>
      </c>
      <c r="N61" s="101" t="s">
        <v>38</v>
      </c>
      <c r="O61" s="101" t="s">
        <v>39</v>
      </c>
      <c r="P61" s="102"/>
      <c r="Q61" s="103" t="s">
        <v>40</v>
      </c>
      <c r="R61" s="104" t="s">
        <v>41</v>
      </c>
      <c r="S61" s="39" t="s">
        <v>42</v>
      </c>
      <c r="T61" s="105" t="s">
        <v>43</v>
      </c>
      <c r="U61" s="105" t="s">
        <v>44</v>
      </c>
      <c r="V61" s="106" t="s">
        <v>45</v>
      </c>
      <c r="W61" s="83"/>
      <c r="X61" s="83"/>
      <c r="Y61" s="83"/>
      <c r="Z61" s="83"/>
      <c r="AA61" s="83"/>
      <c r="AB61" s="83"/>
      <c r="AC61" s="83"/>
      <c r="AD61" s="83"/>
      <c r="AE61" s="83"/>
      <c r="AF61" s="83"/>
      <c r="AG61" s="83"/>
      <c r="AH61" s="83"/>
      <c r="AI61" s="83"/>
      <c r="AJ61" s="83"/>
      <c r="AK61" s="83"/>
      <c r="AL61" s="83"/>
      <c r="AM61" s="83"/>
    </row>
    <row r="62" spans="1:39" ht="18" customHeight="1" outlineLevel="1">
      <c r="A62" s="111"/>
      <c r="B62" s="54"/>
      <c r="C62" s="54"/>
      <c r="D62" s="54"/>
      <c r="E62" s="54"/>
      <c r="F62" s="54"/>
      <c r="G62" s="54"/>
      <c r="H62" s="54"/>
      <c r="I62" s="107"/>
      <c r="J62" s="107"/>
      <c r="K62" s="107"/>
      <c r="L62" s="107"/>
      <c r="M62" s="107" t="s">
        <v>17</v>
      </c>
      <c r="N62" s="107" t="s">
        <v>17</v>
      </c>
      <c r="O62" s="107" t="s">
        <v>64</v>
      </c>
      <c r="P62" s="107" t="s">
        <v>65</v>
      </c>
      <c r="Q62" s="108"/>
      <c r="R62" s="109" t="s">
        <v>17</v>
      </c>
      <c r="S62" s="49" t="s">
        <v>17</v>
      </c>
      <c r="T62" s="52"/>
      <c r="U62" s="52" t="s">
        <v>17</v>
      </c>
      <c r="V62" s="110" t="s">
        <v>17</v>
      </c>
      <c r="W62" s="83"/>
      <c r="X62" s="83"/>
      <c r="Y62" s="83"/>
      <c r="Z62" s="83"/>
      <c r="AA62" s="83"/>
      <c r="AB62" s="83"/>
      <c r="AC62" s="83"/>
      <c r="AD62" s="83"/>
      <c r="AE62" s="83"/>
      <c r="AF62" s="83"/>
      <c r="AG62" s="83"/>
      <c r="AH62" s="83"/>
      <c r="AI62" s="83"/>
      <c r="AJ62" s="83"/>
      <c r="AK62" s="83"/>
      <c r="AL62" s="83"/>
      <c r="AM62" s="83"/>
    </row>
    <row r="63" spans="1:39" ht="12.75" outlineLevel="1">
      <c r="A63" s="112"/>
      <c r="B63" s="113"/>
      <c r="C63" s="112"/>
      <c r="D63" s="112"/>
      <c r="E63" s="112"/>
      <c r="F63" s="112"/>
      <c r="G63" s="112"/>
      <c r="H63" s="112"/>
      <c r="I63" s="112"/>
      <c r="J63" s="112"/>
      <c r="K63" s="112"/>
      <c r="L63" s="112"/>
      <c r="M63" s="112"/>
      <c r="N63" s="114"/>
      <c r="O63" s="115"/>
      <c r="P63" s="115"/>
      <c r="Q63" s="116"/>
      <c r="R63" s="112"/>
      <c r="S63" s="117"/>
      <c r="T63" s="118"/>
      <c r="U63" s="118"/>
      <c r="V63" s="117"/>
      <c r="W63" s="83"/>
      <c r="X63" s="83"/>
      <c r="Y63" s="83"/>
      <c r="Z63" s="83"/>
      <c r="AA63" s="83"/>
      <c r="AB63" s="83"/>
      <c r="AC63" s="83"/>
      <c r="AD63" s="83"/>
      <c r="AE63" s="83"/>
      <c r="AF63" s="83"/>
      <c r="AG63" s="83"/>
      <c r="AH63" s="83"/>
      <c r="AI63" s="83"/>
      <c r="AJ63" s="83"/>
      <c r="AK63" s="83"/>
      <c r="AL63" s="83"/>
      <c r="AM63" s="83"/>
    </row>
    <row r="64" spans="1:39" ht="12.75" outlineLevel="1">
      <c r="A64" s="119" t="s">
        <v>70</v>
      </c>
      <c r="B64" s="2" t="s">
        <v>573</v>
      </c>
      <c r="C64" s="2" t="s">
        <v>182</v>
      </c>
      <c r="D64" s="12"/>
      <c r="E64" s="12"/>
      <c r="F64" s="12"/>
      <c r="G64" s="12"/>
      <c r="H64" s="12"/>
      <c r="I64" s="12"/>
      <c r="J64" s="12"/>
      <c r="K64" s="12"/>
      <c r="L64" s="77">
        <v>3361000</v>
      </c>
      <c r="M64" s="12">
        <v>5551.01</v>
      </c>
      <c r="N64" s="77">
        <v>3436942.58</v>
      </c>
      <c r="O64" s="120">
        <v>19.9</v>
      </c>
      <c r="P64" s="120">
        <v>19.887969042512495</v>
      </c>
      <c r="Q64" s="121">
        <f>IF(ISERROR(L64*$C$20/$C$16),0,L64*$C$20/$C$16)</f>
        <v>4</v>
      </c>
      <c r="R64" s="122">
        <f>IF(ISERROR(M64*$C$20/$C$16),0,M64*$C$20/$C$16)</f>
        <v>4</v>
      </c>
      <c r="S64" s="123">
        <f>IF(ISERROR(N64*$C$20/$C$16),0,N64*$C$20/$C$16)</f>
        <v>4</v>
      </c>
      <c r="T64" s="124">
        <f>IF(ISERROR(L64*$C$21/N78),0,L64*$C$21/N78)</f>
        <v>4</v>
      </c>
      <c r="U64" s="124">
        <f>IF(ISERROR(M64*$C$21/N78),0,M64*$C$21/N78)</f>
        <v>4</v>
      </c>
      <c r="V64" s="125">
        <f>IF(ISERROR(O64*$C$21/N78),0,O64*$C$21/N78)</f>
        <v>4</v>
      </c>
      <c r="W64" s="83"/>
      <c r="X64" s="83"/>
      <c r="Y64" s="83"/>
      <c r="Z64" s="83"/>
      <c r="AA64" s="83"/>
      <c r="AB64" s="83"/>
      <c r="AC64" s="83"/>
      <c r="AD64" s="83"/>
      <c r="AE64" s="83"/>
      <c r="AF64" s="83"/>
      <c r="AG64" s="83"/>
      <c r="AH64" s="83"/>
      <c r="AI64" s="83"/>
      <c r="AJ64" s="83"/>
      <c r="AK64" s="83"/>
      <c r="AL64" s="83"/>
      <c r="AM64" s="83"/>
    </row>
    <row r="65" spans="1:39" ht="12.75" outlineLevel="1">
      <c r="A65" s="119" t="s">
        <v>91</v>
      </c>
      <c r="B65" s="2" t="s">
        <v>580</v>
      </c>
      <c r="C65" s="2" t="s">
        <v>581</v>
      </c>
      <c r="D65" s="12"/>
      <c r="E65" s="12"/>
      <c r="F65" s="12"/>
      <c r="G65" s="12"/>
      <c r="H65" s="12"/>
      <c r="I65" s="12"/>
      <c r="J65" s="12"/>
      <c r="K65" s="12"/>
      <c r="L65" s="77">
        <v>1551109</v>
      </c>
      <c r="M65" s="12">
        <v>0</v>
      </c>
      <c r="N65" s="77">
        <v>1566472.1219348002</v>
      </c>
      <c r="O65" s="120">
        <v>0</v>
      </c>
      <c r="P65" s="120">
        <v>0</v>
      </c>
      <c r="Q65" s="121">
        <f>IF(ISERROR(L65*$C$20/$C$16),0,L65*$C$20/$C$16)</f>
        <v>4</v>
      </c>
      <c r="R65" s="122">
        <f>IF(ISERROR(M65*$C$20/$C$16),0,M65*$C$20/$C$16)</f>
        <v>4</v>
      </c>
      <c r="S65" s="123">
        <f>IF(ISERROR(N65*$C$20/$C$16),0,N65*$C$20/$C$16)</f>
        <v>4</v>
      </c>
      <c r="T65" s="124">
        <f>IF(ISERROR(L65*$C$21/N79),0,L65*$C$21/N79)</f>
        <v>4</v>
      </c>
      <c r="U65" s="124">
        <f>IF(ISERROR(M65*$C$21/N79),0,M65*$C$21/N79)</f>
        <v>4</v>
      </c>
      <c r="V65" s="125">
        <f>IF(ISERROR(O65*$C$21/N79),0,O65*$C$21/N79)</f>
        <v>4</v>
      </c>
      <c r="W65" s="83"/>
      <c r="X65" s="83"/>
      <c r="Y65" s="83"/>
      <c r="Z65" s="83"/>
      <c r="AA65" s="83"/>
      <c r="AB65" s="83"/>
      <c r="AC65" s="83"/>
      <c r="AD65" s="83"/>
      <c r="AE65" s="83"/>
      <c r="AF65" s="83"/>
      <c r="AG65" s="83"/>
      <c r="AH65" s="83"/>
      <c r="AI65" s="83"/>
      <c r="AJ65" s="83"/>
      <c r="AK65" s="83"/>
      <c r="AL65" s="83"/>
      <c r="AM65" s="83"/>
    </row>
    <row r="66" spans="1:39" ht="12.75" outlineLevel="1">
      <c r="A66" s="119" t="s">
        <v>108</v>
      </c>
      <c r="B66" s="2" t="s">
        <v>588</v>
      </c>
      <c r="C66" s="2" t="s">
        <v>129</v>
      </c>
      <c r="D66" s="12"/>
      <c r="E66" s="12"/>
      <c r="F66" s="12"/>
      <c r="G66" s="12"/>
      <c r="H66" s="12"/>
      <c r="I66" s="12"/>
      <c r="J66" s="12"/>
      <c r="K66" s="12"/>
      <c r="L66" s="77">
        <v>1390000</v>
      </c>
      <c r="M66" s="12">
        <v>8026.039999999999</v>
      </c>
      <c r="N66" s="77">
        <v>1414700.85</v>
      </c>
      <c r="O66" s="120">
        <v>8.2</v>
      </c>
      <c r="P66" s="120">
        <v>8.186207960802218</v>
      </c>
      <c r="Q66" s="121">
        <f>IF(ISERROR(L66*$C$20/$C$16),0,L66*$C$20/$C$16)</f>
        <v>4</v>
      </c>
      <c r="R66" s="122">
        <f>IF(ISERROR(M66*$C$20/$C$16),0,M66*$C$20/$C$16)</f>
        <v>4</v>
      </c>
      <c r="S66" s="123">
        <f>IF(ISERROR(N66*$C$20/$C$16),0,N66*$C$20/$C$16)</f>
        <v>4</v>
      </c>
      <c r="T66" s="124">
        <f>IF(ISERROR(L66*$C$21/N80),0,L66*$C$21/N80)</f>
        <v>4</v>
      </c>
      <c r="U66" s="124">
        <f>IF(ISERROR(M66*$C$21/N80),0,M66*$C$21/N80)</f>
        <v>4</v>
      </c>
      <c r="V66" s="125">
        <f>IF(ISERROR(O66*$C$21/N80),0,O66*$C$21/N80)</f>
        <v>4</v>
      </c>
      <c r="W66" s="83"/>
      <c r="X66" s="83"/>
      <c r="Y66" s="83"/>
      <c r="Z66" s="83"/>
      <c r="AA66" s="83"/>
      <c r="AB66" s="83"/>
      <c r="AC66" s="83"/>
      <c r="AD66" s="83"/>
      <c r="AE66" s="83"/>
      <c r="AF66" s="83"/>
      <c r="AG66" s="83"/>
      <c r="AH66" s="83"/>
      <c r="AI66" s="83"/>
      <c r="AJ66" s="83"/>
      <c r="AK66" s="83"/>
      <c r="AL66" s="83"/>
      <c r="AM66" s="83"/>
    </row>
    <row r="67" spans="1:39" ht="12.75" outlineLevel="1">
      <c r="A67" s="119" t="s">
        <v>125</v>
      </c>
      <c r="B67" s="2" t="s">
        <v>595</v>
      </c>
      <c r="C67" s="2" t="s">
        <v>373</v>
      </c>
      <c r="D67" s="12"/>
      <c r="E67" s="12"/>
      <c r="F67" s="12"/>
      <c r="G67" s="12"/>
      <c r="H67" s="12"/>
      <c r="I67" s="12"/>
      <c r="J67" s="12"/>
      <c r="K67" s="12"/>
      <c r="L67" s="77">
        <v>3398000</v>
      </c>
      <c r="M67" s="12">
        <v>14551.24</v>
      </c>
      <c r="N67" s="77">
        <v>3420559.42</v>
      </c>
      <c r="O67" s="120">
        <v>19.8</v>
      </c>
      <c r="P67" s="120">
        <v>19.793167406664818</v>
      </c>
      <c r="Q67" s="121">
        <f>IF(ISERROR(L67*$C$20/$C$16),0,L67*$C$20/$C$16)</f>
        <v>4</v>
      </c>
      <c r="R67" s="122">
        <f>IF(ISERROR(M67*$C$20/$C$16),0,M67*$C$20/$C$16)</f>
        <v>4</v>
      </c>
      <c r="S67" s="123">
        <f>IF(ISERROR(N67*$C$20/$C$16),0,N67*$C$20/$C$16)</f>
        <v>4</v>
      </c>
      <c r="T67" s="124">
        <f>IF(ISERROR(L67*$C$21/N81),0,L67*$C$21/N81)</f>
        <v>4</v>
      </c>
      <c r="U67" s="124">
        <f>IF(ISERROR(M67*$C$21/N81),0,M67*$C$21/N81)</f>
        <v>4</v>
      </c>
      <c r="V67" s="125">
        <f>IF(ISERROR(O67*$C$21/N81),0,O67*$C$21/N81)</f>
        <v>4</v>
      </c>
      <c r="W67" s="83"/>
      <c r="X67" s="83"/>
      <c r="Y67" s="83"/>
      <c r="Z67" s="83"/>
      <c r="AA67" s="83"/>
      <c r="AB67" s="83"/>
      <c r="AC67" s="83"/>
      <c r="AD67" s="83"/>
      <c r="AE67" s="83"/>
      <c r="AF67" s="83"/>
      <c r="AG67" s="83"/>
      <c r="AH67" s="83"/>
      <c r="AI67" s="83"/>
      <c r="AJ67" s="83"/>
      <c r="AK67" s="83"/>
      <c r="AL67" s="83"/>
      <c r="AM67" s="83"/>
    </row>
    <row r="68" spans="1:39" ht="12.75" outlineLevel="1">
      <c r="A68" s="119" t="s">
        <v>144</v>
      </c>
      <c r="B68" s="2" t="s">
        <v>602</v>
      </c>
      <c r="C68" s="2" t="s">
        <v>530</v>
      </c>
      <c r="D68" s="12"/>
      <c r="E68" s="12"/>
      <c r="F68" s="12"/>
      <c r="G68" s="12"/>
      <c r="H68" s="12"/>
      <c r="I68" s="12"/>
      <c r="J68" s="12"/>
      <c r="K68" s="12"/>
      <c r="L68" s="77">
        <v>1144000</v>
      </c>
      <c r="M68" s="12">
        <v>2923.2</v>
      </c>
      <c r="N68" s="77">
        <v>1138935.16</v>
      </c>
      <c r="O68" s="120">
        <v>6.6</v>
      </c>
      <c r="P68" s="120">
        <v>6.590481707584713</v>
      </c>
      <c r="Q68" s="121">
        <f>IF(ISERROR(L68*$C$20/$C$16),0,L68*$C$20/$C$16)</f>
        <v>4</v>
      </c>
      <c r="R68" s="122">
        <f>IF(ISERROR(M68*$C$20/$C$16),0,M68*$C$20/$C$16)</f>
        <v>4</v>
      </c>
      <c r="S68" s="123">
        <f>IF(ISERROR(N68*$C$20/$C$16),0,N68*$C$20/$C$16)</f>
        <v>4</v>
      </c>
      <c r="T68" s="124">
        <f>IF(ISERROR(L68*$C$21/N82),0,L68*$C$21/N82)</f>
        <v>4</v>
      </c>
      <c r="U68" s="124">
        <f>IF(ISERROR(M68*$C$21/N82),0,M68*$C$21/N82)</f>
        <v>4</v>
      </c>
      <c r="V68" s="125">
        <f>IF(ISERROR(O68*$C$21/N82),0,O68*$C$21/N82)</f>
        <v>4</v>
      </c>
      <c r="W68" s="83"/>
      <c r="X68" s="83"/>
      <c r="Y68" s="83"/>
      <c r="Z68" s="83"/>
      <c r="AA68" s="83"/>
      <c r="AB68" s="83"/>
      <c r="AC68" s="83"/>
      <c r="AD68" s="83"/>
      <c r="AE68" s="83"/>
      <c r="AF68" s="83"/>
      <c r="AG68" s="83"/>
      <c r="AH68" s="83"/>
      <c r="AI68" s="83"/>
      <c r="AJ68" s="83"/>
      <c r="AK68" s="83"/>
      <c r="AL68" s="83"/>
      <c r="AM68" s="83"/>
    </row>
    <row r="69" spans="1:39" ht="12.75" outlineLevel="1">
      <c r="A69" s="119" t="s">
        <v>161</v>
      </c>
      <c r="B69" s="2" t="s">
        <v>609</v>
      </c>
      <c r="C69" s="2" t="s">
        <v>304</v>
      </c>
      <c r="D69" s="12"/>
      <c r="E69" s="12"/>
      <c r="F69" s="12"/>
      <c r="G69" s="12"/>
      <c r="H69" s="12"/>
      <c r="I69" s="12"/>
      <c r="J69" s="12"/>
      <c r="K69" s="12"/>
      <c r="L69" s="77">
        <v>3087000</v>
      </c>
      <c r="M69" s="12">
        <v>38629.46</v>
      </c>
      <c r="N69" s="77">
        <v>3254209.75</v>
      </c>
      <c r="O69" s="120">
        <v>18.8</v>
      </c>
      <c r="P69" s="120">
        <v>18.830580162279674</v>
      </c>
      <c r="Q69" s="121">
        <f>IF(ISERROR(L69*$C$20/$C$16),0,L69*$C$20/$C$16)</f>
        <v>4</v>
      </c>
      <c r="R69" s="122">
        <f>IF(ISERROR(M69*$C$20/$C$16),0,M69*$C$20/$C$16)</f>
        <v>4</v>
      </c>
      <c r="S69" s="123">
        <f>IF(ISERROR(N69*$C$20/$C$16),0,N69*$C$20/$C$16)</f>
        <v>4</v>
      </c>
      <c r="T69" s="124">
        <f>IF(ISERROR(L69*$C$21/N83),0,L69*$C$21/N83)</f>
        <v>4</v>
      </c>
      <c r="U69" s="124">
        <f>IF(ISERROR(M69*$C$21/N83),0,M69*$C$21/N83)</f>
        <v>4</v>
      </c>
      <c r="V69" s="125">
        <f>IF(ISERROR(O69*$C$21/N83),0,O69*$C$21/N83)</f>
        <v>4</v>
      </c>
      <c r="W69" s="83"/>
      <c r="X69" s="83"/>
      <c r="Y69" s="83"/>
      <c r="Z69" s="83"/>
      <c r="AA69" s="83"/>
      <c r="AB69" s="83"/>
      <c r="AC69" s="83"/>
      <c r="AD69" s="83"/>
      <c r="AE69" s="83"/>
      <c r="AF69" s="83"/>
      <c r="AG69" s="83"/>
      <c r="AH69" s="83"/>
      <c r="AI69" s="83"/>
      <c r="AJ69" s="83"/>
      <c r="AK69" s="83"/>
      <c r="AL69" s="83"/>
      <c r="AM69" s="83"/>
    </row>
    <row r="70" spans="1:39" ht="12.75" outlineLevel="1">
      <c r="A70" s="119" t="s">
        <v>178</v>
      </c>
      <c r="B70" s="2" t="s">
        <v>616</v>
      </c>
      <c r="C70" s="2" t="s">
        <v>74</v>
      </c>
      <c r="D70" s="12"/>
      <c r="E70" s="12"/>
      <c r="F70" s="12"/>
      <c r="G70" s="12"/>
      <c r="H70" s="12"/>
      <c r="I70" s="12"/>
      <c r="J70" s="12"/>
      <c r="K70" s="12"/>
      <c r="L70" s="77">
        <v>1164000</v>
      </c>
      <c r="M70" s="12">
        <v>5808.64</v>
      </c>
      <c r="N70" s="77">
        <v>1237307.79</v>
      </c>
      <c r="O70" s="120">
        <v>7.2</v>
      </c>
      <c r="P70" s="120">
        <v>7.159717816286459</v>
      </c>
      <c r="Q70" s="121">
        <f>IF(ISERROR(L70*$C$20/$C$16),0,L70*$C$20/$C$16)</f>
        <v>4</v>
      </c>
      <c r="R70" s="122">
        <f>IF(ISERROR(M70*$C$20/$C$16),0,M70*$C$20/$C$16)</f>
        <v>4</v>
      </c>
      <c r="S70" s="123">
        <f>IF(ISERROR(N70*$C$20/$C$16),0,N70*$C$20/$C$16)</f>
        <v>4</v>
      </c>
      <c r="T70" s="124">
        <f>IF(ISERROR(L70*$C$21/N84),0,L70*$C$21/N84)</f>
        <v>4</v>
      </c>
      <c r="U70" s="124">
        <f>IF(ISERROR(M70*$C$21/N84),0,M70*$C$21/N84)</f>
        <v>4</v>
      </c>
      <c r="V70" s="125">
        <f>IF(ISERROR(O70*$C$21/N84),0,O70*$C$21/N84)</f>
        <v>4</v>
      </c>
      <c r="W70" s="83"/>
      <c r="X70" s="83"/>
      <c r="Y70" s="83"/>
      <c r="Z70" s="83"/>
      <c r="AA70" s="83"/>
      <c r="AB70" s="83"/>
      <c r="AC70" s="83"/>
      <c r="AD70" s="83"/>
      <c r="AE70" s="83"/>
      <c r="AF70" s="83"/>
      <c r="AG70" s="83"/>
      <c r="AH70" s="83"/>
      <c r="AI70" s="83"/>
      <c r="AJ70" s="83"/>
      <c r="AK70" s="83"/>
      <c r="AL70" s="83"/>
      <c r="AM70" s="83"/>
    </row>
    <row r="71" spans="1:39" ht="12.75" outlineLevel="1">
      <c r="A71" s="119" t="s">
        <v>197</v>
      </c>
      <c r="B71" s="2" t="s">
        <v>623</v>
      </c>
      <c r="C71" s="2" t="s">
        <v>442</v>
      </c>
      <c r="D71" s="12"/>
      <c r="E71" s="12"/>
      <c r="F71" s="12"/>
      <c r="G71" s="12"/>
      <c r="H71" s="12"/>
      <c r="I71" s="12"/>
      <c r="J71" s="12"/>
      <c r="K71" s="12"/>
      <c r="L71" s="77">
        <v>256000</v>
      </c>
      <c r="M71" s="12">
        <v>2174.25</v>
      </c>
      <c r="N71" s="77">
        <v>255004.33</v>
      </c>
      <c r="O71" s="120">
        <v>1.5</v>
      </c>
      <c r="P71" s="120">
        <v>1.4755900346600028</v>
      </c>
      <c r="Q71" s="121">
        <f>IF(ISERROR(L71*$C$20/$C$16),0,L71*$C$20/$C$16)</f>
        <v>4</v>
      </c>
      <c r="R71" s="122">
        <f>IF(ISERROR(M71*$C$20/$C$16),0,M71*$C$20/$C$16)</f>
        <v>4</v>
      </c>
      <c r="S71" s="123">
        <f>IF(ISERROR(N71*$C$20/$C$16),0,N71*$C$20/$C$16)</f>
        <v>4</v>
      </c>
      <c r="T71" s="124">
        <f>IF(ISERROR(L71*$C$21/N85),0,L71*$C$21/N85)</f>
        <v>4</v>
      </c>
      <c r="U71" s="124">
        <f>IF(ISERROR(M71*$C$21/N85),0,M71*$C$21/N85)</f>
        <v>4</v>
      </c>
      <c r="V71" s="125">
        <f>IF(ISERROR(O71*$C$21/N85),0,O71*$C$21/N85)</f>
        <v>4</v>
      </c>
      <c r="W71" s="83"/>
      <c r="X71" s="83"/>
      <c r="Y71" s="83"/>
      <c r="Z71" s="83"/>
      <c r="AA71" s="83"/>
      <c r="AB71" s="83"/>
      <c r="AC71" s="83"/>
      <c r="AD71" s="83"/>
      <c r="AE71" s="83"/>
      <c r="AF71" s="83"/>
      <c r="AG71" s="83"/>
      <c r="AH71" s="83"/>
      <c r="AI71" s="83"/>
      <c r="AJ71" s="83"/>
      <c r="AK71" s="83"/>
      <c r="AL71" s="83"/>
      <c r="AM71" s="83"/>
    </row>
    <row r="72" spans="1:39" ht="12.75" outlineLevel="1">
      <c r="A72" s="119" t="s">
        <v>210</v>
      </c>
      <c r="B72" s="2" t="s">
        <v>630</v>
      </c>
      <c r="C72" s="2" t="s">
        <v>460</v>
      </c>
      <c r="D72" s="12"/>
      <c r="E72" s="12"/>
      <c r="F72" s="12"/>
      <c r="G72" s="12"/>
      <c r="H72" s="12"/>
      <c r="I72" s="12"/>
      <c r="J72" s="12"/>
      <c r="K72" s="12"/>
      <c r="L72" s="77">
        <v>2943000</v>
      </c>
      <c r="M72" s="12">
        <v>13284.460000000001</v>
      </c>
      <c r="N72" s="77">
        <v>2965716.84</v>
      </c>
      <c r="O72" s="120">
        <v>17.2</v>
      </c>
      <c r="P72" s="120">
        <v>17.161207477250894</v>
      </c>
      <c r="Q72" s="121">
        <f>IF(ISERROR(L72*$C$20/$C$16),0,L72*$C$20/$C$16)</f>
        <v>4</v>
      </c>
      <c r="R72" s="122">
        <f>IF(ISERROR(M72*$C$20/$C$16),0,M72*$C$20/$C$16)</f>
        <v>4</v>
      </c>
      <c r="S72" s="123">
        <f>IF(ISERROR(N72*$C$20/$C$16),0,N72*$C$20/$C$16)</f>
        <v>4</v>
      </c>
      <c r="T72" s="124">
        <f>IF(ISERROR(L72*$C$21/N86),0,L72*$C$21/N86)</f>
        <v>4</v>
      </c>
      <c r="U72" s="124">
        <f>IF(ISERROR(M72*$C$21/N86),0,M72*$C$21/N86)</f>
        <v>4</v>
      </c>
      <c r="V72" s="125">
        <f>IF(ISERROR(O72*$C$21/N86),0,O72*$C$21/N86)</f>
        <v>4</v>
      </c>
      <c r="W72" s="83"/>
      <c r="X72" s="83"/>
      <c r="Y72" s="83"/>
      <c r="Z72" s="83"/>
      <c r="AA72" s="83"/>
      <c r="AB72" s="83"/>
      <c r="AC72" s="83"/>
      <c r="AD72" s="83"/>
      <c r="AE72" s="83"/>
      <c r="AF72" s="83"/>
      <c r="AG72" s="83"/>
      <c r="AH72" s="83"/>
      <c r="AI72" s="83"/>
      <c r="AJ72" s="83"/>
      <c r="AK72" s="83"/>
      <c r="AL72" s="83"/>
      <c r="AM72" s="83"/>
    </row>
    <row r="73" spans="1:39" ht="12.75" outlineLevel="1">
      <c r="A73" s="119" t="s">
        <v>227</v>
      </c>
      <c r="B73" s="2" t="s">
        <v>637</v>
      </c>
      <c r="C73" s="2"/>
      <c r="D73" s="12"/>
      <c r="E73" s="12"/>
      <c r="F73" s="12"/>
      <c r="G73" s="12"/>
      <c r="H73" s="12"/>
      <c r="I73" s="12"/>
      <c r="J73" s="12"/>
      <c r="K73" s="12"/>
      <c r="L73" s="77">
        <v>0</v>
      </c>
      <c r="M73" s="12">
        <v>0</v>
      </c>
      <c r="N73" s="77">
        <v>109.84</v>
      </c>
      <c r="O73" s="120">
        <v>0</v>
      </c>
      <c r="P73" s="120">
        <v>0.0006355923815369</v>
      </c>
      <c r="Q73" s="121">
        <f>IF(ISERROR(L73*$C$20/$C$16),0,L73*$C$20/$C$16)</f>
        <v>4</v>
      </c>
      <c r="R73" s="122">
        <f>IF(ISERROR(M73*$C$20/$C$16),0,M73*$C$20/$C$16)</f>
        <v>4</v>
      </c>
      <c r="S73" s="123">
        <f>IF(ISERROR(N73*$C$20/$C$16),0,N73*$C$20/$C$16)</f>
        <v>4</v>
      </c>
      <c r="T73" s="124">
        <f>IF(ISERROR(L73*$C$21/N87),0,L73*$C$21/N87)</f>
        <v>4</v>
      </c>
      <c r="U73" s="124">
        <f>IF(ISERROR(M73*$C$21/N87),0,M73*$C$21/N87)</f>
        <v>4</v>
      </c>
      <c r="V73" s="125">
        <f>IF(ISERROR(O73*$C$21/N87),0,O73*$C$21/N87)</f>
        <v>4</v>
      </c>
      <c r="W73" s="83"/>
      <c r="X73" s="83"/>
      <c r="Y73" s="83"/>
      <c r="Z73" s="83"/>
      <c r="AA73" s="83"/>
      <c r="AB73" s="83"/>
      <c r="AC73" s="83"/>
      <c r="AD73" s="83"/>
      <c r="AE73" s="83"/>
      <c r="AF73" s="83"/>
      <c r="AG73" s="83"/>
      <c r="AH73" s="83"/>
      <c r="AI73" s="83"/>
      <c r="AJ73" s="83"/>
      <c r="AK73" s="83"/>
      <c r="AL73" s="83"/>
      <c r="AM73" s="83"/>
    </row>
    <row r="74" spans="1:39" ht="12.75" outlineLevel="1">
      <c r="A74" s="119" t="s">
        <v>240</v>
      </c>
      <c r="B74" s="2" t="s">
        <v>644</v>
      </c>
      <c r="C74" s="2"/>
      <c r="D74" s="12"/>
      <c r="E74" s="12"/>
      <c r="F74" s="12"/>
      <c r="G74" s="12"/>
      <c r="H74" s="12"/>
      <c r="I74" s="12"/>
      <c r="J74" s="12"/>
      <c r="K74" s="12"/>
      <c r="L74" s="77">
        <v>0</v>
      </c>
      <c r="M74" s="12">
        <v>0</v>
      </c>
      <c r="N74" s="77">
        <v>90948.29999999999</v>
      </c>
      <c r="O74" s="120">
        <v>0.5</v>
      </c>
      <c r="P74" s="120">
        <v>0.5262750054054322</v>
      </c>
      <c r="Q74" s="121">
        <f>IF(ISERROR(L74*$C$20/$C$16),0,L74*$C$20/$C$16)</f>
        <v>4</v>
      </c>
      <c r="R74" s="122">
        <f>IF(ISERROR(M74*$C$20/$C$16),0,M74*$C$20/$C$16)</f>
        <v>4</v>
      </c>
      <c r="S74" s="123">
        <f>IF(ISERROR(N74*$C$20/$C$16),0,N74*$C$20/$C$16)</f>
        <v>4</v>
      </c>
      <c r="T74" s="124">
        <f>IF(ISERROR(L74*$C$21/N88),0,L74*$C$21/N88)</f>
        <v>4</v>
      </c>
      <c r="U74" s="124">
        <f>IF(ISERROR(M74*$C$21/N88),0,M74*$C$21/N88)</f>
        <v>4</v>
      </c>
      <c r="V74" s="125">
        <f>IF(ISERROR(O74*$C$21/N88),0,O74*$C$21/N88)</f>
        <v>4</v>
      </c>
      <c r="W74" s="83"/>
      <c r="X74" s="83"/>
      <c r="Y74" s="83"/>
      <c r="Z74" s="83"/>
      <c r="AA74" s="83"/>
      <c r="AB74" s="83"/>
      <c r="AC74" s="83"/>
      <c r="AD74" s="83"/>
      <c r="AE74" s="83"/>
      <c r="AF74" s="83"/>
      <c r="AG74" s="83"/>
      <c r="AH74" s="83"/>
      <c r="AI74" s="83"/>
      <c r="AJ74" s="83"/>
      <c r="AK74" s="83"/>
      <c r="AL74" s="83"/>
      <c r="AM74" s="83"/>
    </row>
    <row r="75" spans="1:39" ht="12.75" outlineLevel="1">
      <c r="A75" s="119" t="s">
        <v>257</v>
      </c>
      <c r="B75" s="2" t="s">
        <v>651</v>
      </c>
      <c r="C75" s="2"/>
      <c r="D75" s="12"/>
      <c r="E75" s="12"/>
      <c r="F75" s="12"/>
      <c r="G75" s="12"/>
      <c r="H75" s="12"/>
      <c r="I75" s="12"/>
      <c r="J75" s="12"/>
      <c r="K75" s="12"/>
      <c r="L75" s="77">
        <v>0</v>
      </c>
      <c r="M75" s="12">
        <v>0</v>
      </c>
      <c r="N75" s="77">
        <v>-1503.59</v>
      </c>
      <c r="O75" s="120">
        <v>0</v>
      </c>
      <c r="P75" s="120">
        <v>-0.0087005676343324</v>
      </c>
      <c r="Q75" s="121">
        <f>IF(ISERROR(L75*$C$20/$C$16),0,L75*$C$20/$C$16)</f>
        <v>4</v>
      </c>
      <c r="R75" s="122">
        <f>IF(ISERROR(M75*$C$20/$C$16),0,M75*$C$20/$C$16)</f>
        <v>4</v>
      </c>
      <c r="S75" s="123">
        <f>IF(ISERROR(N75*$C$20/$C$16),0,N75*$C$20/$C$16)</f>
        <v>4</v>
      </c>
      <c r="T75" s="124">
        <f>IF(ISERROR(L75*$C$21/N89),0,L75*$C$21/N89)</f>
        <v>4</v>
      </c>
      <c r="U75" s="124">
        <f>IF(ISERROR(M75*$C$21/N89),0,M75*$C$21/N89)</f>
        <v>4</v>
      </c>
      <c r="V75" s="125">
        <f>IF(ISERROR(O75*$C$21/N89),0,O75*$C$21/N89)</f>
        <v>4</v>
      </c>
      <c r="W75" s="83"/>
      <c r="X75" s="83"/>
      <c r="Y75" s="83"/>
      <c r="Z75" s="83"/>
      <c r="AA75" s="83"/>
      <c r="AB75" s="83"/>
      <c r="AC75" s="83"/>
      <c r="AD75" s="83"/>
      <c r="AE75" s="83"/>
      <c r="AF75" s="83"/>
      <c r="AG75" s="83"/>
      <c r="AH75" s="83"/>
      <c r="AI75" s="83"/>
      <c r="AJ75" s="83"/>
      <c r="AK75" s="83"/>
      <c r="AL75" s="83"/>
      <c r="AM75" s="83"/>
    </row>
    <row r="76" spans="1:39" ht="12.75" outlineLevel="1">
      <c r="A76" s="119"/>
      <c r="B76" s="2" t="s">
        <v>561</v>
      </c>
      <c r="C76" s="12"/>
      <c r="D76" s="12"/>
      <c r="E76" s="12"/>
      <c r="F76" s="12"/>
      <c r="G76" s="12"/>
      <c r="H76" s="12"/>
      <c r="I76" s="12"/>
      <c r="J76" s="12"/>
      <c r="K76" s="12"/>
      <c r="L76" s="12"/>
      <c r="M76" s="12"/>
      <c r="N76" s="77">
        <v>159533.17</v>
      </c>
      <c r="O76" s="120">
        <v>0.9</v>
      </c>
      <c r="P76" s="120">
        <v>0.9231433672115298</v>
      </c>
      <c r="Q76" s="126"/>
      <c r="R76" s="127"/>
      <c r="S76" s="128"/>
      <c r="T76" s="124"/>
      <c r="U76" s="124"/>
      <c r="V76" s="125"/>
      <c r="W76" s="83"/>
      <c r="X76" s="83"/>
      <c r="Y76" s="83"/>
      <c r="Z76" s="83"/>
      <c r="AA76" s="83"/>
      <c r="AB76" s="83"/>
      <c r="AC76" s="83"/>
      <c r="AD76" s="83"/>
      <c r="AE76" s="83"/>
      <c r="AF76" s="83"/>
      <c r="AG76" s="83"/>
      <c r="AH76" s="83"/>
      <c r="AI76" s="83"/>
      <c r="AJ76" s="83"/>
      <c r="AK76" s="83"/>
      <c r="AL76" s="83"/>
      <c r="AM76" s="83"/>
    </row>
    <row r="77" spans="1:39" ht="12.75" outlineLevel="1">
      <c r="A77" s="114"/>
      <c r="B77" s="129"/>
      <c r="C77" s="130"/>
      <c r="D77" s="130"/>
      <c r="E77" s="130"/>
      <c r="F77" s="130"/>
      <c r="G77" s="130"/>
      <c r="H77" s="130"/>
      <c r="I77" s="130"/>
      <c r="J77" s="130"/>
      <c r="K77" s="130"/>
      <c r="L77" s="130"/>
      <c r="M77" s="130"/>
      <c r="N77" s="130"/>
      <c r="O77" s="130"/>
      <c r="P77" s="131"/>
      <c r="Q77" s="116"/>
      <c r="R77" s="112"/>
      <c r="S77" s="117"/>
      <c r="T77" s="118"/>
      <c r="U77" s="118"/>
      <c r="V77" s="117"/>
      <c r="W77" s="83"/>
      <c r="X77" s="83"/>
      <c r="Y77" s="83"/>
      <c r="Z77" s="83"/>
      <c r="AA77" s="83"/>
      <c r="AB77" s="83"/>
      <c r="AC77" s="83"/>
      <c r="AD77" s="83"/>
      <c r="AE77" s="83"/>
      <c r="AF77" s="83"/>
      <c r="AG77" s="83"/>
      <c r="AH77" s="83"/>
      <c r="AI77" s="83"/>
      <c r="AJ77" s="83"/>
      <c r="AK77" s="83"/>
      <c r="AL77" s="83"/>
      <c r="AM77" s="83"/>
    </row>
    <row r="78" spans="1:39" ht="13.5" customHeight="1" outlineLevel="1">
      <c r="A78" s="84"/>
      <c r="B78" s="85" t="s">
        <v>563</v>
      </c>
      <c r="C78" s="84"/>
      <c r="D78" s="84"/>
      <c r="E78" s="84"/>
      <c r="F78" s="84"/>
      <c r="G78" s="84"/>
      <c r="H78" s="84"/>
      <c r="I78" s="84"/>
      <c r="J78" s="84"/>
      <c r="K78" s="84"/>
      <c r="L78" s="84">
        <f>SUM(L64:L77)</f>
        <v>4</v>
      </c>
      <c r="M78" s="84">
        <f>SUM(M64:M77)</f>
        <v>4</v>
      </c>
      <c r="N78" s="84">
        <f>SUM(N64:N77)</f>
        <v>4</v>
      </c>
      <c r="O78" s="84"/>
      <c r="P78" s="84">
        <f>SUM(P64:P77)</f>
        <v>4</v>
      </c>
      <c r="Q78" s="132">
        <f>SUM(Q64:Q77)</f>
        <v>4</v>
      </c>
      <c r="R78" s="84">
        <f>SUM(R64:R77)</f>
        <v>4</v>
      </c>
      <c r="S78" s="133">
        <f>SUM(S64:S77)</f>
        <v>4</v>
      </c>
      <c r="T78" s="84">
        <f>SUM(T64:T77)</f>
        <v>4</v>
      </c>
      <c r="U78" s="84">
        <f>SUM(U64:U77)</f>
        <v>4</v>
      </c>
      <c r="V78" s="133">
        <f>SUM(V64:V77)</f>
        <v>4</v>
      </c>
      <c r="W78" s="83"/>
      <c r="X78" s="83"/>
      <c r="Y78" s="83"/>
      <c r="Z78" s="83"/>
      <c r="AA78" s="83"/>
      <c r="AB78" s="83"/>
      <c r="AC78" s="83"/>
      <c r="AD78" s="83"/>
      <c r="AE78" s="83"/>
      <c r="AF78" s="83"/>
      <c r="AG78" s="83"/>
      <c r="AH78" s="83"/>
      <c r="AI78" s="83"/>
      <c r="AJ78" s="83"/>
      <c r="AK78" s="83"/>
      <c r="AL78" s="83"/>
      <c r="AM78" s="83"/>
    </row>
    <row r="79" spans="1:39" ht="18" customHeight="1" outlineLevel="1">
      <c r="A79" s="1"/>
      <c r="B79" s="134" t="s">
        <v>0</v>
      </c>
      <c r="C79" s="83"/>
      <c r="D79" s="83"/>
      <c r="E79" s="83"/>
      <c r="F79" s="83"/>
      <c r="G79" s="92"/>
      <c r="H79" s="92"/>
      <c r="I79" s="92"/>
      <c r="J79" s="83"/>
      <c r="K79" s="92"/>
      <c r="L79" s="92"/>
      <c r="M79" s="92"/>
      <c r="N79" s="83"/>
      <c r="O79" s="83"/>
      <c r="P79" s="92"/>
      <c r="Q79" s="92"/>
      <c r="R79" s="92"/>
      <c r="S79" s="92"/>
      <c r="T79" s="92"/>
      <c r="U79" s="92"/>
      <c r="V79" s="83"/>
      <c r="W79" s="83"/>
      <c r="X79" s="83"/>
      <c r="Y79" s="83"/>
      <c r="Z79" s="83"/>
      <c r="AA79" s="83"/>
      <c r="AB79" s="83"/>
      <c r="AC79" s="83"/>
      <c r="AD79" s="83"/>
      <c r="AE79" s="83"/>
      <c r="AF79" s="83"/>
      <c r="AG79" s="83"/>
      <c r="AH79" s="83"/>
      <c r="AI79" s="83"/>
      <c r="AJ79" s="83"/>
      <c r="AK79" s="83"/>
      <c r="AL79" s="83"/>
      <c r="AM79" s="83"/>
    </row>
    <row r="80" spans="1:39" ht="18" customHeight="1" outlineLevel="1">
      <c r="A80" s="1"/>
      <c r="B80" s="134" t="s">
        <v>668</v>
      </c>
      <c r="C80" s="83"/>
      <c r="D80" s="83"/>
      <c r="E80" s="83"/>
      <c r="F80" s="83"/>
      <c r="G80" s="92"/>
      <c r="H80" s="92"/>
      <c r="I80" s="92"/>
      <c r="J80" s="83"/>
      <c r="K80" s="92"/>
      <c r="L80" s="92"/>
      <c r="M80" s="92"/>
      <c r="N80" s="83"/>
      <c r="O80" s="83"/>
      <c r="P80" s="92"/>
      <c r="Q80" s="92"/>
      <c r="R80" s="92"/>
      <c r="S80" s="92"/>
      <c r="T80" s="92"/>
      <c r="U80" s="92"/>
      <c r="V80" s="83"/>
      <c r="W80" s="83"/>
      <c r="X80" s="83"/>
      <c r="Y80" s="83"/>
      <c r="Z80" s="83"/>
      <c r="AA80" s="83"/>
      <c r="AB80" s="83"/>
      <c r="AC80" s="83"/>
      <c r="AD80" s="83"/>
      <c r="AE80" s="83"/>
      <c r="AF80" s="83"/>
      <c r="AG80" s="83"/>
      <c r="AH80" s="83"/>
      <c r="AI80" s="83"/>
      <c r="AJ80" s="83"/>
      <c r="AK80" s="83"/>
      <c r="AL80" s="83"/>
      <c r="AM80" s="83"/>
    </row>
    <row r="81" spans="1:39" ht="18" customHeight="1" outlineLevel="1">
      <c r="A81" s="1"/>
      <c r="B81" s="134" t="s">
        <v>0</v>
      </c>
      <c r="C81" s="83"/>
      <c r="D81" s="83"/>
      <c r="E81" s="83"/>
      <c r="F81" s="83"/>
      <c r="G81" s="92"/>
      <c r="H81" s="92"/>
      <c r="I81" s="92"/>
      <c r="J81" s="83"/>
      <c r="K81" s="92"/>
      <c r="L81" s="92"/>
      <c r="M81" s="92"/>
      <c r="N81" s="83"/>
      <c r="O81" s="83"/>
      <c r="P81" s="92"/>
      <c r="Q81" s="92"/>
      <c r="R81" s="92"/>
      <c r="S81" s="92"/>
      <c r="T81" s="92"/>
      <c r="U81" s="92"/>
      <c r="V81" s="83"/>
      <c r="W81" s="83"/>
      <c r="X81" s="83"/>
      <c r="Y81" s="83"/>
      <c r="Z81" s="83"/>
      <c r="AA81" s="83"/>
      <c r="AB81" s="83"/>
      <c r="AC81" s="83"/>
      <c r="AD81" s="83"/>
      <c r="AE81" s="83"/>
      <c r="AF81" s="83"/>
      <c r="AG81" s="83"/>
      <c r="AH81" s="83"/>
      <c r="AI81" s="83"/>
      <c r="AJ81" s="83"/>
      <c r="AK81" s="83"/>
      <c r="AL81" s="83"/>
      <c r="AM81" s="83"/>
    </row>
    <row r="82" spans="1:39" ht="18" customHeight="1" outlineLevel="1">
      <c r="A82" s="1"/>
      <c r="B82" s="134" t="s">
        <v>669</v>
      </c>
      <c r="C82" s="83"/>
      <c r="D82" s="83"/>
      <c r="E82" s="83"/>
      <c r="F82" s="83"/>
      <c r="G82" s="92"/>
      <c r="H82" s="92"/>
      <c r="I82" s="92"/>
      <c r="J82" s="83"/>
      <c r="K82" s="92"/>
      <c r="L82" s="92"/>
      <c r="M82" s="92"/>
      <c r="N82" s="83"/>
      <c r="O82" s="83"/>
      <c r="P82" s="92"/>
      <c r="Q82" s="92"/>
      <c r="R82" s="92"/>
      <c r="S82" s="92"/>
      <c r="T82" s="92"/>
      <c r="U82" s="92"/>
      <c r="V82" s="83"/>
      <c r="W82" s="83"/>
      <c r="X82" s="83"/>
      <c r="Y82" s="83"/>
      <c r="Z82" s="83"/>
      <c r="AA82" s="83"/>
      <c r="AB82" s="83"/>
      <c r="AC82" s="83"/>
      <c r="AD82" s="83"/>
      <c r="AE82" s="83"/>
      <c r="AF82" s="83"/>
      <c r="AG82" s="83"/>
      <c r="AH82" s="83"/>
      <c r="AI82" s="83"/>
      <c r="AJ82" s="83"/>
      <c r="AK82" s="83"/>
      <c r="AL82" s="83"/>
      <c r="AM82" s="83"/>
    </row>
    <row r="83" spans="1:39" ht="36.75" customHeight="1" outlineLevel="1">
      <c r="A83" s="135"/>
      <c r="B83" s="136" t="s">
        <v>670</v>
      </c>
      <c r="C83" s="137"/>
      <c r="D83" s="137"/>
      <c r="E83" s="137"/>
      <c r="F83" s="137"/>
      <c r="G83" s="137"/>
      <c r="H83" s="137"/>
      <c r="I83" s="137"/>
      <c r="J83" s="137"/>
      <c r="K83" s="137"/>
      <c r="L83" s="137"/>
      <c r="M83" s="137"/>
      <c r="N83" s="137"/>
      <c r="O83" s="137"/>
      <c r="P83" s="138"/>
      <c r="Q83" s="139"/>
      <c r="R83" s="139"/>
      <c r="S83" s="92"/>
      <c r="T83" s="92"/>
      <c r="U83" s="92"/>
      <c r="V83" s="83"/>
      <c r="W83" s="83"/>
      <c r="X83" s="83"/>
      <c r="Y83" s="83"/>
      <c r="Z83" s="83"/>
      <c r="AA83" s="83"/>
      <c r="AB83" s="83"/>
      <c r="AC83" s="83"/>
      <c r="AD83" s="83"/>
      <c r="AE83" s="83"/>
      <c r="AF83" s="83"/>
      <c r="AG83" s="83"/>
      <c r="AH83" s="83"/>
      <c r="AI83" s="83"/>
      <c r="AJ83" s="83"/>
      <c r="AK83" s="83"/>
      <c r="AL83" s="83"/>
      <c r="AM83" s="83"/>
    </row>
    <row r="84" spans="1:39" ht="25.5" customHeight="1" outlineLevel="1">
      <c r="A84" s="135"/>
      <c r="B84" s="140" t="s">
        <v>671</v>
      </c>
      <c r="C84" s="3"/>
      <c r="D84" s="3"/>
      <c r="E84" s="3"/>
      <c r="F84" s="3"/>
      <c r="G84" s="4"/>
      <c r="H84" s="4"/>
      <c r="I84" s="4"/>
      <c r="J84" s="3"/>
      <c r="K84" s="4"/>
      <c r="L84" s="4"/>
      <c r="M84" s="4"/>
      <c r="N84" s="3"/>
      <c r="O84" s="3"/>
      <c r="P84" s="4"/>
      <c r="Q84" s="139"/>
      <c r="R84" s="139"/>
      <c r="S84" s="92"/>
      <c r="T84" s="92"/>
      <c r="U84" s="92"/>
      <c r="V84" s="83"/>
      <c r="W84" s="83"/>
      <c r="X84" s="83"/>
      <c r="Y84" s="83"/>
      <c r="Z84" s="83"/>
      <c r="AA84" s="83"/>
      <c r="AB84" s="83"/>
      <c r="AC84" s="83"/>
      <c r="AD84" s="83"/>
      <c r="AE84" s="83"/>
      <c r="AF84" s="83"/>
      <c r="AG84" s="83"/>
      <c r="AH84" s="83"/>
      <c r="AI84" s="83"/>
      <c r="AJ84" s="83"/>
      <c r="AK84" s="83"/>
      <c r="AL84" s="83"/>
      <c r="AM84" s="83"/>
    </row>
    <row r="85" spans="1:39" ht="45" customHeight="1" outlineLevel="1">
      <c r="A85" s="135"/>
      <c r="B85" s="141" t="s">
        <v>672</v>
      </c>
      <c r="C85" s="142"/>
      <c r="D85" s="142"/>
      <c r="E85" s="142"/>
      <c r="F85" s="142"/>
      <c r="G85" s="142"/>
      <c r="H85" s="142"/>
      <c r="I85" s="142"/>
      <c r="J85" s="142"/>
      <c r="K85" s="142"/>
      <c r="L85" s="142"/>
      <c r="M85" s="142"/>
      <c r="N85" s="142"/>
      <c r="O85" s="142"/>
      <c r="P85" s="143"/>
      <c r="Q85" s="139"/>
      <c r="R85" s="139"/>
      <c r="S85" s="92"/>
      <c r="T85" s="92"/>
      <c r="U85" s="92"/>
      <c r="V85" s="83"/>
      <c r="W85" s="83"/>
      <c r="X85" s="83"/>
      <c r="Y85" s="83"/>
      <c r="Z85" s="83"/>
      <c r="AA85" s="83"/>
      <c r="AB85" s="83"/>
      <c r="AC85" s="83"/>
      <c r="AD85" s="83"/>
      <c r="AE85" s="83"/>
      <c r="AF85" s="83"/>
      <c r="AG85" s="83"/>
      <c r="AH85" s="83"/>
      <c r="AI85" s="83"/>
      <c r="AJ85" s="83"/>
      <c r="AK85" s="83"/>
      <c r="AL85" s="83"/>
      <c r="AM85" s="83"/>
    </row>
  </sheetData>
  <mergeCells count="37">
    <mergeCell ref="A23:A24"/>
    <mergeCell ref="B23:B24"/>
    <mergeCell ref="C23:C24"/>
    <mergeCell ref="D23:D24"/>
    <mergeCell ref="E23:E24"/>
    <mergeCell ref="F23:F24"/>
    <mergeCell ref="G23:G24"/>
    <mergeCell ref="H23:H24"/>
    <mergeCell ref="O23:P23"/>
    <mergeCell ref="A61:A62"/>
    <mergeCell ref="B61:B62"/>
    <mergeCell ref="C61:C62"/>
    <mergeCell ref="D61:D62"/>
    <mergeCell ref="E61:E62"/>
    <mergeCell ref="F61:F62"/>
    <mergeCell ref="G61:G62"/>
    <mergeCell ref="H61:H62"/>
    <mergeCell ref="O61:P61"/>
    <mergeCell ref="W61:W78"/>
    <mergeCell ref="X61:X78"/>
    <mergeCell ref="Y61:Y78"/>
    <mergeCell ref="Z61:Z78"/>
    <mergeCell ref="AA61:AA78"/>
    <mergeCell ref="AB61:AB78"/>
    <mergeCell ref="AC61:AC78"/>
    <mergeCell ref="AD61:AD78"/>
    <mergeCell ref="AE61:AE78"/>
    <mergeCell ref="AF61:AF78"/>
    <mergeCell ref="AG61:AG78"/>
    <mergeCell ref="AH61:AH78"/>
    <mergeCell ref="AI61:AI78"/>
    <mergeCell ref="AJ61:AJ78"/>
    <mergeCell ref="AK61:AK78"/>
    <mergeCell ref="AL61:AL78"/>
    <mergeCell ref="AM61:AM78"/>
    <mergeCell ref="B83:P83"/>
    <mergeCell ref="B85:P85"/>
  </mergeCells>
  <printOptions/>
  <pageMargins left="0.25" right="0.25" top="0.75" bottom="0.75" header="0.5" footer="0.5"/>
  <pageSetup firstPageNumber="1" useFirstPageNumber="1" fitToHeight="1" fitToWidth="1" horizontalDpi="300" verticalDpi="300" orientation="landscape" paperSize="9"/>
  <headerFooter alignWithMargins="0">
    <oddFooter>&amp;L20.03.2017 15:05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